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XyU5l7ltA8ycg385CLCVDC75ruqBMmWjKDzWzLpgVaf1izU33+SXFZ3zi/3pYaTJURVkOPdcczz5zsKjcY3kA==" workbookSaltValue="kWx9FuGDb9fIqJ3SdDyC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C17" i="6" s="1"/>
  <c r="E15" i="2"/>
  <c r="E16" i="2"/>
  <c r="B16" i="6"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B9" i="6"/>
  <c r="Y11" i="11"/>
  <c r="AT18" i="17"/>
  <c r="N10" i="11"/>
  <c r="N9" i="11"/>
  <c r="T10" i="21"/>
  <c r="V10" i="21" s="1"/>
  <c r="F10" i="10"/>
  <c r="D11" i="2"/>
  <c r="N11" i="11"/>
  <c r="ES19" i="8"/>
  <c r="S19" i="13"/>
  <c r="AG19" i="19"/>
  <c r="CI19" i="8"/>
  <c r="AE19" i="8"/>
  <c r="EP19" i="8"/>
  <c r="ER19" i="13"/>
  <c r="AL13" i="16"/>
  <c r="BL9" i="11"/>
  <c r="P17" i="17"/>
  <c r="BK9" i="11"/>
  <c r="S13" i="16"/>
  <c r="H18" i="16"/>
  <c r="P13" i="16"/>
  <c r="AN13" i="20"/>
  <c r="F15" i="17"/>
  <c r="Z13" i="17"/>
  <c r="F17" i="17"/>
  <c r="AQ17" i="17" s="1"/>
  <c r="AC10" i="11"/>
  <c r="T13" i="12"/>
  <c r="BM12" i="11"/>
  <c r="BJ15" i="11"/>
  <c r="R17" i="20"/>
  <c r="R18" i="20" s="1"/>
  <c r="AZ15" i="11"/>
  <c r="AZ18" i="11" s="1"/>
  <c r="BV12" i="16"/>
  <c r="U10" i="17"/>
  <c r="AA16" i="16"/>
  <c r="T16" i="11"/>
  <c r="BI9" i="11"/>
  <c r="BH11" i="11"/>
  <c r="BH12" i="16"/>
  <c r="S19" i="8"/>
  <c r="BF15" i="8"/>
  <c r="BD12" i="8"/>
  <c r="BA13" i="8"/>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Y19" i="8"/>
  <c r="AY18" i="8"/>
  <c r="B18" i="2"/>
  <c r="E15" i="6"/>
  <c r="AJ19" i="8"/>
  <c r="BG15" i="8"/>
  <c r="K15" i="7" s="1"/>
  <c r="E18" i="12"/>
  <c r="C18" i="7"/>
  <c r="AY13" i="8"/>
  <c r="C19" i="3"/>
  <c r="AB19" i="8"/>
  <c r="F9" i="11"/>
  <c r="H13" i="12"/>
  <c r="BD9" i="8"/>
  <c r="B12" i="6"/>
  <c r="AL10" i="11"/>
  <c r="H12" i="7"/>
  <c r="AO12" i="17"/>
  <c r="E9" i="6"/>
  <c r="AO12" i="11"/>
  <c r="H15" i="2"/>
  <c r="F9" i="2"/>
  <c r="C11" i="6"/>
  <c r="E11" i="6"/>
  <c r="L12" i="14"/>
  <c r="AO16" i="11"/>
  <c r="AO9" i="11"/>
  <c r="AL11" i="11"/>
  <c r="H12" i="2"/>
  <c r="M18" i="2"/>
  <c r="M19" i="2" s="1"/>
  <c r="N18" i="2"/>
  <c r="BF11" i="8"/>
  <c r="BF9" i="8"/>
  <c r="C10" i="6"/>
  <c r="BF16" i="13"/>
  <c r="BE16" i="13"/>
  <c r="AO17" i="11"/>
  <c r="BD15" i="8"/>
  <c r="H15" i="7" s="1"/>
  <c r="BE15" i="8"/>
  <c r="BG16" i="8"/>
  <c r="E18" i="2"/>
  <c r="F18" i="2" s="1"/>
  <c r="AL15" i="11"/>
  <c r="L16" i="14"/>
  <c r="F15" i="11"/>
  <c r="AQ15" i="11" s="1"/>
  <c r="F16" i="17"/>
  <c r="BB13" i="13"/>
  <c r="D11" i="12"/>
  <c r="D12" i="12"/>
  <c r="BG9" i="8"/>
  <c r="K9" i="7" s="1"/>
  <c r="BD11" i="8"/>
  <c r="H11" i="7" s="1"/>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K15" i="12"/>
  <c r="AI19" i="11"/>
  <c r="F19" i="7"/>
  <c r="I11" i="12"/>
  <c r="B19" i="7"/>
  <c r="D19" i="12"/>
  <c r="I10" i="12"/>
  <c r="K9" i="12"/>
  <c r="AL18" i="11"/>
  <c r="H13" i="2"/>
  <c r="C18" i="6"/>
  <c r="AS16" i="20"/>
  <c r="AM13" i="11"/>
  <c r="Y13" i="11"/>
  <c r="BW21" i="20"/>
  <c r="BK13" i="11"/>
  <c r="BV13" i="16"/>
  <c r="T18" i="16"/>
  <c r="T19" i="16" s="1"/>
  <c r="P16" i="11"/>
  <c r="F18" i="11"/>
  <c r="J18" i="2"/>
  <c r="K16" i="12"/>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AI20" i="11"/>
  <c r="Z20" i="17"/>
  <c r="F20" i="12"/>
  <c r="R20" i="11"/>
  <c r="AR20" i="20"/>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<sst xmlns="http://schemas.openxmlformats.org/spreadsheetml/2006/main" count="2088" uniqueCount="917">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</sst>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57F75TlOW4C8t+8uMmKHWs+koXIPAxm6XtI887hGUtpQ80e1VIn224CP2YHaotwuFyX0pvfQMwI7Mk4tb58SA==" saltValue="lhQbFfNhXAHAy45T6ID/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17.367498672331386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73</v>
      </c>
      <c r="D10" s="224">
        <f>IF(ISNUMBER(Datos!I10),Datos!I10," - ")</f>
        <v>73</v>
      </c>
      <c r="E10" s="225">
        <f>IF(ISNUMBER(Datos!J10),Datos!J10," - ")</f>
        <v>24</v>
      </c>
      <c r="F10" s="225">
        <f>IF(ISNUMBER(Datos!K10),Datos!K10," - ")</f>
        <v>36</v>
      </c>
      <c r="G10" s="1033" t="str">
        <f>IF(Datos!E10&lt;&gt;"",Datos!E10,Datos!D10)</f>
        <v>37</v>
      </c>
      <c r="H10" s="226">
        <f>IF(ISNUMBER(Datos!L10),Datos!L10," - ")</f>
        <v>61</v>
      </c>
      <c r="I10" s="1043" t="str">
        <f>IF(ISNUMBER(Datos!AS10/Datos!BM10),Datos!AS10/Datos!BM10," - ")</f>
        <v xml:space="preserve"> - </v>
      </c>
      <c r="J10" s="1044">
        <f>IF(ISNUMBER(Datos!BY10/Datos!CN10),Datos!BY10/Datos!CN10," - ")</f>
        <v>0</v>
      </c>
      <c r="K10" s="229">
        <f t="shared" ref="K10:K12" si="1">IF(ISNUMBER((E10-F10)/C10),(E10-F10)/C10," - ")</f>
        <v>-0.16438356164383561</v>
      </c>
      <c r="L10" s="1024">
        <f>IF(ISNUMBER(NºAsuntos!I10/NºAsuntos!G10),(NºAsuntos!I10/NºAsuntos!G10)*11," - ")</f>
        <v>18.638888888888889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12.537993920972646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73</v>
      </c>
      <c r="D13" s="1048">
        <f>SUBTOTAL(9,D9:D12)</f>
        <v>73</v>
      </c>
      <c r="E13" s="1049">
        <f>SUBTOTAL(9,E9:E12)</f>
        <v>24</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2320</v>
      </c>
      <c r="D15" s="224">
        <f>IF(ISNUMBER(IF(D_I="SI",Datos!I15,Datos!I15+Datos!AC15)),IF(D_I="SI",Datos!I15,Datos!I15+Datos!AC15)," - ")</f>
        <v>2287</v>
      </c>
      <c r="E15" s="225">
        <f>IF(ISNUMBER(IF(D_I="SI",Datos!J15,Datos!J15+Datos!AD15)),IF(D_I="SI",Datos!J15,Datos!J15+Datos!AD15)," - ")</f>
        <v>1782</v>
      </c>
      <c r="F15" s="225">
        <f>IF(ISNUMBER(IF(D_I="SI",Datos!K15,Datos!K15+Datos!AE15)),IF(D_I="SI",Datos!K15,Datos!K15+Datos!AE15)," - ")</f>
        <v>1650</v>
      </c>
      <c r="G15" s="1033" t="str">
        <f>IF(Datos!E15&lt;&gt;"",Datos!E15,Datos!D15)</f>
        <v>03</v>
      </c>
      <c r="H15" s="226">
        <f>IF(ISNUMBER(IF(D_I="SI",Datos!L15,Datos!L15+Datos!AF15)),IF(D_I="SI",Datos!L15,Datos!L15+Datos!AF15)," - ")</f>
        <v>2452</v>
      </c>
      <c r="I15" s="1043" t="str">
        <f>IF(ISNUMBER(Datos!AS15/Datos!BM15),Datos!AS15/Datos!BM15," - ")</f>
        <v xml:space="preserve"> - </v>
      </c>
      <c r="J15" s="1044">
        <f>IF(ISNUMBER(Datos!BY15/Datos!CN15),Datos!BY15/Datos!CN15," - ")</f>
        <v>0</v>
      </c>
      <c r="K15" s="229">
        <f t="shared" ref="K15:K17" si="3">IF(ISNUMBER((E15-F15)/C15),(E15-F15)/C15," - ")</f>
        <v>5.6896551724137934E-2</v>
      </c>
      <c r="L15" s="1024">
        <f>IF(ISNUMBER(NºAsuntos!I15/NºAsuntos!G15),(NºAsuntos!I15/NºAsuntos!G15)*11," - ")</f>
        <v>16.346666666666668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158</v>
      </c>
      <c r="D17" s="224">
        <f>IF(ISNUMBER(IF(D_I="SI",Datos!I17,Datos!I17+Datos!AC17)),IF(D_I="SI",Datos!I17,Datos!I17+Datos!AC17)," - ")</f>
        <v>147</v>
      </c>
      <c r="E17" s="225">
        <f>IF(ISNUMBER(IF(D_I="SI",Datos!J17,Datos!J17+Datos!AD17)),IF(D_I="SI",Datos!J17,Datos!J17+Datos!AD17)," - ")</f>
        <v>181</v>
      </c>
      <c r="F17" s="225">
        <f>IF(ISNUMBER(IF(D_I="SI",Datos!K17,Datos!K17+Datos!AE17)),IF(D_I="SI",Datos!K17,Datos!K17+Datos!AE17)," - ")</f>
        <v>188</v>
      </c>
      <c r="G17" s="1033" t="str">
        <f>IF(Datos!E17&lt;&gt;"",Datos!E17,Datos!D17)</f>
        <v>37</v>
      </c>
      <c r="H17" s="226">
        <f>IF(ISNUMBER(IF(D_I="SI",Datos!L17,Datos!L17+Datos!AF17)),IF(D_I="SI",Datos!L17,Datos!L17+Datos!AF17)," - ")</f>
        <v>151</v>
      </c>
      <c r="I17" s="1043" t="str">
        <f>IF(ISNUMBER(Datos!AS17/Datos!BM17),Datos!AS17/Datos!BM17," - ")</f>
        <v xml:space="preserve"> - </v>
      </c>
      <c r="J17" s="1044" t="str">
        <f>IF(ISNUMBER((Datos!BY17+Datos!BZ17)/Datos!CN17),(Datos!BY17+Datos!BZ17)/Datos!CN17," - ")</f>
        <v xml:space="preserve"> - </v>
      </c>
      <c r="K17" s="229">
        <f t="shared" si="3"/>
        <v>-4.4303797468354431E-2</v>
      </c>
      <c r="L17" s="1024">
        <f>IF(ISNUMBER(NºAsuntos!I17/NºAsuntos!G17),(NºAsuntos!I17/NºAsuntos!G17)*11," - ")</f>
        <v>8.835106382978724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2478</v>
      </c>
      <c r="D18" s="1048">
        <f>SUBTOTAL(9,D15:D17)</f>
        <v>2434</v>
      </c>
      <c r="E18" s="1049">
        <f>SUBTOTAL(9,E15:E17)</f>
        <v>1963</v>
      </c>
      <c r="F18" s="1049">
        <f>SUBTOTAL(9,F15:F17)</f>
        <v>1838</v>
      </c>
      <c r="G18" s="1051" t="str">
        <f ca="1">INDIRECT(CONCATENATE("G",ROW()-1))</f>
        <v>37</v>
      </c>
      <c r="H18" s="1052">
        <f ca="1">SUMIF(G$14:G17,G18,H$14:H17)</f>
        <v>151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2551</v>
      </c>
      <c r="D19" s="1070">
        <f>SUBTOTAL(9,D9:D18)</f>
        <v>2507</v>
      </c>
      <c r="E19" s="1071">
        <f>SUBTOTAL(9,E9:E18)</f>
        <v>1987</v>
      </c>
      <c r="F19" s="1071">
        <f>SUBTOTAL(9,F9:F18)</f>
        <v>1874</v>
      </c>
      <c r="G19" s="1072"/>
      <c r="H19" s="1073">
        <f ca="1">SUMIF(B9:B18,"TOTAL",H9:H18)</f>
        <v>151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4L9qVhR9i64PhhCVJ3fa5evIN/6gkmJrYo4YYQxjFlI/CaThs0WlwRVp0p2mSF16FHtAkNXhULvqB86tWg08A==" saltValue="Wv/5VOD48Fw6kq9IZZ0x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hJWCe8SyYBDUZqPeqNEd/wN1xWVD+s2+2Fj+BSjZpNEsOXHShrRSskFPHswVB4t+Buu1NFWHYGor+hTKsb+zg==" saltValue="YVLsdXyKhivemwxolsnk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2944</v>
      </c>
      <c r="J9" s="180">
        <v>1429</v>
      </c>
      <c r="K9" s="180">
        <v>1600</v>
      </c>
      <c r="L9" s="180">
        <v>2775</v>
      </c>
      <c r="M9" s="180">
        <v>643</v>
      </c>
      <c r="N9" s="180">
        <v>646</v>
      </c>
      <c r="O9" s="180">
        <v>867</v>
      </c>
      <c r="P9" s="180">
        <v>559</v>
      </c>
      <c r="Q9" s="180">
        <v>326</v>
      </c>
      <c r="R9" s="180">
        <v>8810</v>
      </c>
      <c r="S9" s="180">
        <v>3952</v>
      </c>
      <c r="T9" s="180">
        <v>2515</v>
      </c>
      <c r="U9" s="180">
        <v>2493</v>
      </c>
      <c r="V9" s="180">
        <v>3974</v>
      </c>
      <c r="W9" s="180">
        <v>849</v>
      </c>
      <c r="X9" s="187">
        <v>1096</v>
      </c>
      <c r="Y9" s="190">
        <v>207</v>
      </c>
      <c r="Z9" s="180">
        <v>274</v>
      </c>
      <c r="AA9" s="180">
        <v>283</v>
      </c>
      <c r="AB9" s="180">
        <v>198</v>
      </c>
      <c r="AC9" s="180">
        <v>0</v>
      </c>
      <c r="AD9" s="180">
        <v>0</v>
      </c>
      <c r="AE9" s="180">
        <v>0</v>
      </c>
      <c r="AF9" s="187">
        <v>0</v>
      </c>
      <c r="AG9" s="190">
        <v>112</v>
      </c>
      <c r="AH9" s="180">
        <v>106</v>
      </c>
      <c r="AI9" s="180">
        <v>104</v>
      </c>
      <c r="AJ9" s="191">
        <v>114</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4064</v>
      </c>
      <c r="AZ9" s="123">
        <f>IF(ISNUMBER(IF(J_V="SI",T9,T9+AH9)),IF(J_V="SI",T9,T9+AH9)," - ")</f>
        <v>2621</v>
      </c>
      <c r="BA9" s="124">
        <f>IF(ISNUMBER(IF(J_V="SI",U9,U9+AI9)),IF(J_V="SI",U9,U9+AI9)," - ")</f>
        <v>2597</v>
      </c>
      <c r="BB9" s="124">
        <f>IF(ISNUMBER(IF(J_V="SI",V9,V9+AJ9)),IF(J_V="SI",V9,V9+AJ9)," - ")</f>
        <v>4088</v>
      </c>
      <c r="BC9" s="125">
        <f>IF(ISNUMBER(X9),X9," - ")</f>
        <v>1096</v>
      </c>
      <c r="BD9" s="126">
        <f>IF(ISNUMBER(BA9/AZ9),BA9/AZ9," - ")</f>
        <v>0.99084318962228157</v>
      </c>
      <c r="BE9" s="127">
        <f>IF(ISNUMBER(BB9/BA9),BB9/BA9, " - ")</f>
        <v>1.5741239892183287</v>
      </c>
      <c r="BF9" s="127">
        <f>IF(ISNUMBER(BC9/BA9),BC9/BA9, " - ")</f>
        <v>0.42202541393916054</v>
      </c>
      <c r="BG9" s="195">
        <f>IF(ISNUMBER((AY9+AZ9)/BA9),(AY9+AZ9)/BA9," - ")</f>
        <v>2.5741239892183287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73</v>
      </c>
      <c r="J10" s="180">
        <v>24</v>
      </c>
      <c r="K10" s="180">
        <v>36</v>
      </c>
      <c r="L10" s="180">
        <v>61</v>
      </c>
      <c r="M10" s="180">
        <v>13</v>
      </c>
      <c r="N10" s="180">
        <v>16</v>
      </c>
      <c r="O10" s="180">
        <v>1</v>
      </c>
      <c r="P10" s="180">
        <v>2</v>
      </c>
      <c r="Q10" s="180">
        <v>5</v>
      </c>
      <c r="R10" s="180">
        <v>64</v>
      </c>
      <c r="S10" s="180">
        <v>87</v>
      </c>
      <c r="T10" s="180">
        <v>8</v>
      </c>
      <c r="U10" s="180">
        <v>34</v>
      </c>
      <c r="V10" s="180">
        <v>61</v>
      </c>
      <c r="W10" s="180">
        <v>10</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87</v>
      </c>
      <c r="AZ10" s="129">
        <f t="shared" si="0"/>
        <v>8</v>
      </c>
      <c r="BA10" s="129">
        <f t="shared" si="0"/>
        <v>34</v>
      </c>
      <c r="BB10" s="129">
        <f t="shared" si="0"/>
        <v>61</v>
      </c>
      <c r="BC10" s="125">
        <f t="shared" si="0"/>
        <v>10</v>
      </c>
      <c r="BD10" s="126">
        <f>IF(ISNUMBER(BA10/AZ10),BA10/AZ10," - ")</f>
        <v>4.25</v>
      </c>
      <c r="BE10" s="127">
        <f>IF(ISNUMBER(BB10/BA10),BB10/BA10, " - ")</f>
        <v>1.7941176470588236</v>
      </c>
      <c r="BF10" s="127">
        <f>IF(ISNUMBER(BC10/BA10),BC10/BA10, " - ")</f>
        <v>0.29411764705882354</v>
      </c>
      <c r="BG10" s="195">
        <f>IF(ISNUMBER((AY10+AZ10)/BA10),(AY10+AZ10)/BA10," - ")</f>
        <v>2.7941176470588234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598</v>
      </c>
      <c r="J11" s="182">
        <v>281</v>
      </c>
      <c r="K11" s="182">
        <v>334</v>
      </c>
      <c r="L11" s="182">
        <v>545</v>
      </c>
      <c r="M11" s="182">
        <v>129</v>
      </c>
      <c r="N11" s="182">
        <v>420</v>
      </c>
      <c r="O11" s="180">
        <v>128</v>
      </c>
      <c r="P11" s="182">
        <v>29</v>
      </c>
      <c r="Q11" s="182">
        <v>18</v>
      </c>
      <c r="R11" s="182">
        <v>326</v>
      </c>
      <c r="S11" s="182">
        <v>717</v>
      </c>
      <c r="T11" s="182">
        <v>332</v>
      </c>
      <c r="U11" s="182">
        <v>395</v>
      </c>
      <c r="V11" s="182">
        <v>654</v>
      </c>
      <c r="W11" s="182">
        <v>150</v>
      </c>
      <c r="X11" s="188">
        <v>421</v>
      </c>
      <c r="Y11" s="190">
        <v>183</v>
      </c>
      <c r="Z11" s="180">
        <v>346</v>
      </c>
      <c r="AA11" s="180">
        <v>324</v>
      </c>
      <c r="AB11" s="180">
        <v>205</v>
      </c>
      <c r="AC11" s="182">
        <v>0</v>
      </c>
      <c r="AD11" s="182">
        <v>0</v>
      </c>
      <c r="AE11" s="182">
        <v>0</v>
      </c>
      <c r="AF11" s="188">
        <v>0</v>
      </c>
      <c r="AG11" s="201">
        <v>197</v>
      </c>
      <c r="AH11" s="182">
        <v>179</v>
      </c>
      <c r="AI11" s="182">
        <v>235</v>
      </c>
      <c r="AJ11" s="202">
        <v>141</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914</v>
      </c>
      <c r="AZ11" s="127">
        <f t="shared" si="1"/>
        <v>511</v>
      </c>
      <c r="BA11" s="127">
        <f t="shared" si="1"/>
        <v>630</v>
      </c>
      <c r="BB11" s="127">
        <f t="shared" si="1"/>
        <v>795</v>
      </c>
      <c r="BC11" s="125">
        <f>IF(ISNUMBER(X11),X11," - ")</f>
        <v>421</v>
      </c>
      <c r="BD11" s="126">
        <f t="shared" ref="BD11:BD12" si="2">IF(ISNUMBER(BA11/AZ11),BA11/AZ11," - ")</f>
        <v>1.2328767123287672</v>
      </c>
      <c r="BE11" s="127">
        <f t="shared" ref="BE11:BE12" si="3">IF(ISNUMBER(BB11/BA11),BB11/BA11, " - ")</f>
        <v>1.2619047619047619</v>
      </c>
      <c r="BF11" s="127">
        <f t="shared" ref="BF11:BF12" si="4">IF(ISNUMBER(BC11/BA11),BC11/BA11, " - ")</f>
        <v>0.66825396825396821</v>
      </c>
      <c r="BG11" s="195">
        <f t="shared" ref="BG11:BG12" si="5">IF(ISNUMBER((AY11+AZ11)/BA11),(AY11+AZ11)/BA11," - ")</f>
        <v>2.2619047619047619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3615</v>
      </c>
      <c r="J13" s="183">
        <f t="shared" si="6"/>
        <v>1734</v>
      </c>
      <c r="K13" s="183">
        <f t="shared" si="6"/>
        <v>1970</v>
      </c>
      <c r="L13" s="183">
        <f t="shared" si="6"/>
        <v>3381</v>
      </c>
      <c r="M13" s="183">
        <f t="shared" si="6"/>
        <v>785</v>
      </c>
      <c r="N13" s="183">
        <f t="shared" si="6"/>
        <v>1082</v>
      </c>
      <c r="O13" s="183">
        <f t="shared" si="6"/>
        <v>996</v>
      </c>
      <c r="P13" s="183">
        <f t="shared" si="6"/>
        <v>590</v>
      </c>
      <c r="Q13" s="183">
        <f t="shared" si="6"/>
        <v>349</v>
      </c>
      <c r="R13" s="183">
        <f t="shared" si="6"/>
        <v>9200</v>
      </c>
      <c r="S13" s="183">
        <f t="shared" si="6"/>
        <v>4756</v>
      </c>
      <c r="T13" s="183">
        <f t="shared" si="6"/>
        <v>2855</v>
      </c>
      <c r="U13" s="183">
        <f t="shared" si="6"/>
        <v>2922</v>
      </c>
      <c r="V13" s="183">
        <f t="shared" si="6"/>
        <v>4689</v>
      </c>
      <c r="W13" s="183">
        <f t="shared" si="6"/>
        <v>1009</v>
      </c>
      <c r="X13" s="183">
        <f t="shared" si="6"/>
        <v>1538</v>
      </c>
      <c r="Y13" s="183">
        <f t="shared" si="6"/>
        <v>390</v>
      </c>
      <c r="Z13" s="183">
        <f t="shared" si="6"/>
        <v>620</v>
      </c>
      <c r="AA13" s="183">
        <f t="shared" si="6"/>
        <v>607</v>
      </c>
      <c r="AB13" s="183">
        <f t="shared" si="6"/>
        <v>403</v>
      </c>
      <c r="AC13" s="183">
        <f t="shared" si="6"/>
        <v>0</v>
      </c>
      <c r="AD13" s="183">
        <f t="shared" si="6"/>
        <v>0</v>
      </c>
      <c r="AE13" s="183">
        <f t="shared" si="6"/>
        <v>0</v>
      </c>
      <c r="AF13" s="183">
        <f>SUBTOTAL(9,AF9:AF12)</f>
        <v>0</v>
      </c>
      <c r="AG13" s="183">
        <f t="shared" ref="AG13:AT13" si="7">SUBTOTAL(9,AG8:AG12)</f>
        <v>309</v>
      </c>
      <c r="AH13" s="183">
        <f t="shared" si="7"/>
        <v>285</v>
      </c>
      <c r="AI13" s="183">
        <f t="shared" si="7"/>
        <v>339</v>
      </c>
      <c r="AJ13" s="183">
        <f t="shared" si="7"/>
        <v>255</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5065</v>
      </c>
      <c r="AZ13" s="183">
        <f>SUBTOTAL(9,AZ8:AZ12)</f>
        <v>3140</v>
      </c>
      <c r="BA13" s="183">
        <f>SUBTOTAL(9,BA8:BA12)</f>
        <v>3261</v>
      </c>
      <c r="BB13" s="183">
        <f>SUBTOTAL(9,BB8:BB12)</f>
        <v>4944</v>
      </c>
      <c r="BC13" s="183">
        <f>SUBTOTAL(9,BC8:BC12)</f>
        <v>1527</v>
      </c>
      <c r="BD13" s="204">
        <f>IF(ISNUMBER(BA13/AZ13),BA13/AZ13," - ")</f>
        <v>1.0385350318471338</v>
      </c>
      <c r="BE13" s="205">
        <f>IF(ISNUMBER(BB13/BA13),BB13/BA13, " - ")</f>
        <v>1.516099356025759</v>
      </c>
      <c r="BF13" s="205">
        <f>IF(ISNUMBER(BC13/BA13),BC13/BA13, " - ")</f>
        <v>0.46826126954921804</v>
      </c>
      <c r="BG13" s="206">
        <f>IF(ISNUMBER((AY13+AZ13)/BA13),(AY13+AZ13)/BA13," - ")</f>
        <v>2.5160993560257592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2287</v>
      </c>
      <c r="J15" s="182">
        <v>1782</v>
      </c>
      <c r="K15" s="182">
        <v>1650</v>
      </c>
      <c r="L15" s="182">
        <v>2452</v>
      </c>
      <c r="M15" s="182">
        <v>294</v>
      </c>
      <c r="N15" s="182">
        <v>742</v>
      </c>
      <c r="O15" s="180">
        <v>30</v>
      </c>
      <c r="P15" s="182">
        <v>72</v>
      </c>
      <c r="Q15" s="182">
        <v>67</v>
      </c>
      <c r="R15" s="182">
        <v>156</v>
      </c>
      <c r="S15" s="182">
        <v>2389</v>
      </c>
      <c r="T15" s="182">
        <v>1518</v>
      </c>
      <c r="U15" s="182">
        <v>1642</v>
      </c>
      <c r="V15" s="182">
        <v>2308</v>
      </c>
      <c r="W15" s="182">
        <v>249</v>
      </c>
      <c r="X15" s="188">
        <v>776</v>
      </c>
      <c r="Y15" s="201">
        <v>0</v>
      </c>
      <c r="Z15" s="182">
        <v>0</v>
      </c>
      <c r="AA15" s="182">
        <v>0</v>
      </c>
      <c r="AB15" s="182">
        <v>0</v>
      </c>
      <c r="AC15" s="182">
        <v>0</v>
      </c>
      <c r="AD15" s="182">
        <v>3</v>
      </c>
      <c r="AE15" s="182">
        <v>0</v>
      </c>
      <c r="AF15" s="188">
        <v>3</v>
      </c>
      <c r="AG15" s="201">
        <v>0</v>
      </c>
      <c r="AH15" s="182">
        <v>0</v>
      </c>
      <c r="AI15" s="182">
        <v>0</v>
      </c>
      <c r="AJ15" s="202">
        <v>0</v>
      </c>
      <c r="AK15" s="181">
        <v>0</v>
      </c>
      <c r="AL15" s="182">
        <v>2</v>
      </c>
      <c r="AM15" s="182">
        <v>2</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2389</v>
      </c>
      <c r="AZ15" s="129">
        <f t="shared" si="9"/>
        <v>1518</v>
      </c>
      <c r="BA15" s="129">
        <f t="shared" si="9"/>
        <v>1642</v>
      </c>
      <c r="BB15" s="129">
        <f t="shared" si="9"/>
        <v>2308</v>
      </c>
      <c r="BC15" s="125">
        <f>IF(ISNUMBER(W15),W15," - ")</f>
        <v>249</v>
      </c>
      <c r="BD15" s="126">
        <f>IF(ISNUMBER(BA15/AZ15),BA15/AZ15," - ")</f>
        <v>1.0816864295125164</v>
      </c>
      <c r="BE15" s="127">
        <f>IF(ISNUMBER(BB15/BA15),BB15/BA15, " - ")</f>
        <v>1.4056029232643119</v>
      </c>
      <c r="BF15" s="127">
        <f>IF(ISNUMBER(BC15/BA15),BC15/BA15, " - ")</f>
        <v>0.15164433617539586</v>
      </c>
      <c r="BG15" s="195">
        <f t="shared" ref="BG15:BG16" si="10">IF(ISNUMBER((AY15+AZ15)/BA15),(AY15+AZ15)/BA15," - ")</f>
        <v>2.3794153471376371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147</v>
      </c>
      <c r="J17" s="182">
        <v>181</v>
      </c>
      <c r="K17" s="182">
        <v>188</v>
      </c>
      <c r="L17" s="182">
        <v>151</v>
      </c>
      <c r="M17" s="182">
        <v>30</v>
      </c>
      <c r="N17" s="182">
        <v>96</v>
      </c>
      <c r="O17" s="182">
        <v>2</v>
      </c>
      <c r="P17" s="182">
        <v>3</v>
      </c>
      <c r="Q17" s="182">
        <v>2</v>
      </c>
      <c r="R17" s="182">
        <v>4</v>
      </c>
      <c r="S17" s="182">
        <v>142</v>
      </c>
      <c r="T17" s="182">
        <v>157</v>
      </c>
      <c r="U17" s="182">
        <v>183</v>
      </c>
      <c r="V17" s="182">
        <v>116</v>
      </c>
      <c r="W17" s="182">
        <v>13</v>
      </c>
      <c r="X17" s="188">
        <v>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142</v>
      </c>
      <c r="AZ17" s="129">
        <f t="shared" si="14"/>
        <v>157</v>
      </c>
      <c r="BA17" s="129">
        <f t="shared" si="14"/>
        <v>183</v>
      </c>
      <c r="BB17" s="129">
        <f t="shared" si="14"/>
        <v>116</v>
      </c>
      <c r="BC17" s="125">
        <f>IF(ISNUMBER(W17),W17," - ")</f>
        <v>13</v>
      </c>
      <c r="BD17" s="126">
        <f>IF(ISNUMBER(BA17/AZ17),BA17/AZ17," - ")</f>
        <v>1.1656050955414012</v>
      </c>
      <c r="BE17" s="127">
        <f>IF(ISNUMBER(BB17/BA17),BB17/BA17, " - ")</f>
        <v>0.63387978142076506</v>
      </c>
      <c r="BF17" s="127">
        <f>IF(ISNUMBER(BC17/BA17),BC17/BA17, " - ")</f>
        <v>7.1038251366120214E-2</v>
      </c>
      <c r="BG17" s="195">
        <f>IF(ISNUMBER((AY17+AZ17)/BA17),(AY17+AZ17)/BA17," - ")</f>
        <v>1.6338797814207651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2434</v>
      </c>
      <c r="J18" s="183">
        <f t="shared" si="15"/>
        <v>1963</v>
      </c>
      <c r="K18" s="183">
        <f t="shared" si="15"/>
        <v>1838</v>
      </c>
      <c r="L18" s="183">
        <f t="shared" si="15"/>
        <v>2603</v>
      </c>
      <c r="M18" s="183">
        <f t="shared" si="15"/>
        <v>324</v>
      </c>
      <c r="N18" s="183">
        <f t="shared" si="15"/>
        <v>838</v>
      </c>
      <c r="O18" s="183">
        <f t="shared" si="15"/>
        <v>32</v>
      </c>
      <c r="P18" s="183">
        <f t="shared" si="15"/>
        <v>75</v>
      </c>
      <c r="Q18" s="183">
        <f t="shared" si="15"/>
        <v>69</v>
      </c>
      <c r="R18" s="183">
        <f t="shared" si="15"/>
        <v>160</v>
      </c>
      <c r="S18" s="183">
        <f t="shared" si="15"/>
        <v>2531</v>
      </c>
      <c r="T18" s="183">
        <f t="shared" si="15"/>
        <v>1675</v>
      </c>
      <c r="U18" s="183">
        <f t="shared" si="15"/>
        <v>1825</v>
      </c>
      <c r="V18" s="183">
        <f t="shared" si="15"/>
        <v>2424</v>
      </c>
      <c r="W18" s="183">
        <f t="shared" si="15"/>
        <v>262</v>
      </c>
      <c r="X18" s="183">
        <f t="shared" si="15"/>
        <v>860</v>
      </c>
      <c r="Y18" s="183">
        <f t="shared" si="15"/>
        <v>0</v>
      </c>
      <c r="Z18" s="183">
        <f t="shared" si="15"/>
        <v>0</v>
      </c>
      <c r="AA18" s="183">
        <f t="shared" si="15"/>
        <v>0</v>
      </c>
      <c r="AB18" s="183">
        <f t="shared" si="15"/>
        <v>0</v>
      </c>
      <c r="AC18" s="183">
        <f t="shared" si="15"/>
        <v>0</v>
      </c>
      <c r="AD18" s="183">
        <f t="shared" si="15"/>
        <v>3</v>
      </c>
      <c r="AE18" s="183">
        <f t="shared" si="15"/>
        <v>0</v>
      </c>
      <c r="AF18" s="183">
        <f t="shared" si="15"/>
        <v>3</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2531</v>
      </c>
      <c r="AZ18" s="183">
        <f>SUBTOTAL(9,AZ14:AZ17)</f>
        <v>1675</v>
      </c>
      <c r="BA18" s="183">
        <f>SUBTOTAL(9,BA14:BA17)</f>
        <v>1825</v>
      </c>
      <c r="BB18" s="183">
        <f>SUBTOTAL(9,BB14:BB17)</f>
        <v>2424</v>
      </c>
      <c r="BC18" s="183">
        <f>SUBTOTAL(9,BC14:BC17)</f>
        <v>262</v>
      </c>
      <c r="BD18" s="204">
        <f>IF(ISNUMBER(BA18/AZ18),BA18/AZ18," - ")</f>
        <v>1.0895522388059702</v>
      </c>
      <c r="BE18" s="205">
        <f>IF(ISNUMBER(BB18/BA18),BB18/BA18, " - ")</f>
        <v>1.3282191780821917</v>
      </c>
      <c r="BF18" s="205">
        <f>IF(ISNUMBER(BC18/BA18),BC18/BA18, " - ")</f>
        <v>0.14356164383561643</v>
      </c>
      <c r="BG18" s="206">
        <f>IF(ISNUMBER((AY18+AZ18)/BA18),(AY18+AZ18)/BA18," - ")</f>
        <v>2.3046575342465752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6049</v>
      </c>
      <c r="J19" s="134">
        <f t="shared" si="18"/>
        <v>3697</v>
      </c>
      <c r="K19" s="134">
        <f t="shared" si="18"/>
        <v>3808</v>
      </c>
      <c r="L19" s="134">
        <f t="shared" si="18"/>
        <v>5984</v>
      </c>
      <c r="M19" s="134">
        <f t="shared" si="18"/>
        <v>1109</v>
      </c>
      <c r="N19" s="134">
        <f t="shared" si="18"/>
        <v>1920</v>
      </c>
      <c r="O19" s="134">
        <f t="shared" si="18"/>
        <v>1028</v>
      </c>
      <c r="P19" s="134">
        <f t="shared" si="18"/>
        <v>665</v>
      </c>
      <c r="Q19" s="134">
        <f t="shared" si="18"/>
        <v>418</v>
      </c>
      <c r="R19" s="134">
        <f t="shared" si="18"/>
        <v>9360</v>
      </c>
      <c r="S19" s="134">
        <f t="shared" si="18"/>
        <v>7287</v>
      </c>
      <c r="T19" s="134">
        <f t="shared" si="18"/>
        <v>4530</v>
      </c>
      <c r="U19" s="134">
        <f t="shared" si="18"/>
        <v>4747</v>
      </c>
      <c r="V19" s="134">
        <f t="shared" si="18"/>
        <v>7113</v>
      </c>
      <c r="W19" s="134">
        <f t="shared" si="18"/>
        <v>1271</v>
      </c>
      <c r="X19" s="134">
        <f t="shared" si="18"/>
        <v>2398</v>
      </c>
      <c r="Y19" s="134">
        <f t="shared" si="18"/>
        <v>390</v>
      </c>
      <c r="Z19" s="134">
        <f t="shared" si="18"/>
        <v>620</v>
      </c>
      <c r="AA19" s="134">
        <f t="shared" si="18"/>
        <v>607</v>
      </c>
      <c r="AB19" s="134">
        <f t="shared" si="18"/>
        <v>403</v>
      </c>
      <c r="AC19" s="134">
        <f t="shared" si="18"/>
        <v>0</v>
      </c>
      <c r="AD19" s="134">
        <f t="shared" si="18"/>
        <v>3</v>
      </c>
      <c r="AE19" s="134">
        <f t="shared" si="18"/>
        <v>0</v>
      </c>
      <c r="AF19" s="134">
        <f t="shared" si="18"/>
        <v>3</v>
      </c>
      <c r="AG19" s="134">
        <f t="shared" si="18"/>
        <v>309</v>
      </c>
      <c r="AH19" s="134">
        <f t="shared" si="18"/>
        <v>285</v>
      </c>
      <c r="AI19" s="134">
        <f t="shared" si="18"/>
        <v>339</v>
      </c>
      <c r="AJ19" s="134">
        <f t="shared" si="18"/>
        <v>255</v>
      </c>
      <c r="AK19" s="134">
        <f t="shared" si="18"/>
        <v>0</v>
      </c>
      <c r="AL19" s="134">
        <f t="shared" si="18"/>
        <v>2</v>
      </c>
      <c r="AM19" s="134">
        <f t="shared" si="18"/>
        <v>2</v>
      </c>
      <c r="AN19" s="209">
        <f t="shared" si="18"/>
        <v>0</v>
      </c>
      <c r="AO19" s="210">
        <v>11</v>
      </c>
      <c r="AP19" s="210">
        <v>10</v>
      </c>
      <c r="AQ19" s="210">
        <v>10</v>
      </c>
      <c r="AR19" s="210">
        <v>10</v>
      </c>
      <c r="AS19" s="152">
        <f t="shared" si="18"/>
        <v>0</v>
      </c>
      <c r="AT19" s="152">
        <f t="shared" si="18"/>
        <v>0</v>
      </c>
      <c r="AU19" s="210"/>
      <c r="AV19" s="211"/>
      <c r="AW19" s="210"/>
      <c r="AX19" s="211"/>
      <c r="AY19" s="133">
        <f>SUBTOTAL(9,AY9:AY18)</f>
        <v>7596</v>
      </c>
      <c r="AZ19" s="134">
        <f>SUBTOTAL(9,AZ9:AZ18)</f>
        <v>4815</v>
      </c>
      <c r="BA19" s="134">
        <f>SUBTOTAL(9,BA9:BA18)</f>
        <v>5086</v>
      </c>
      <c r="BB19" s="134">
        <f>SUBTOTAL(9,BB9:BB18)</f>
        <v>7368</v>
      </c>
      <c r="BC19" s="135">
        <f>SUBTOTAL(9,BC9:BC18)</f>
        <v>1789</v>
      </c>
      <c r="BD19" s="212">
        <f>IF(ISNUMBER(BA19/AZ19),BA19/AZ19," - ")</f>
        <v>1.0562824506749739</v>
      </c>
      <c r="BE19" s="209">
        <f>IF(ISNUMBER(BB19/BA19),BB19/BA19, " - ")</f>
        <v>1.4486826582776249</v>
      </c>
      <c r="BF19" s="209">
        <f>IF(ISNUMBER(BC19/BA19),BC19/BA19, " - ")</f>
        <v>0.35174990169091624</v>
      </c>
      <c r="BG19" s="135">
        <f>IF(ISNUMBER((AY19+AZ19)/BA19),(AY19+AZ19)/BA19," - ")</f>
        <v>2.4402280770743219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eP18vphjlGc4+2b6Hiv8iMS7QIrxsEMtVpREbiZC5W1xzwZDCHrFLKVc/l+C3GJNvLFpyiUZ4knST3WfGFWQ==" saltValue="O/5RLI27bqFKVFk7SyLy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v47hJDSe3gA76cRvg+0UAzKcRhPYD8/l+tTMc5CklNsB2MekC7q9AI0mNmf4C3p4tOY1dGxbMPqFnfr577UQ==" saltValue="8x8MU2x/gF05rcB1pFeE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274</v>
      </c>
      <c r="O9" s="333"/>
      <c r="P9" s="333"/>
      <c r="Q9" s="225">
        <f>IF(ISNUMBER(Datos!P9),Datos!P9,0)</f>
        <v>559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326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198</v>
      </c>
      <c r="AI9" s="333" t="str">
        <f>IF(ISNUMBER(Datos!CD9),Datos!CD9,"-")</f>
        <v>-</v>
      </c>
      <c r="AJ9" s="333" t="str">
        <f>IF(ISNUMBER(Datos!EN9),Datos!EN9," - ")</f>
        <v xml:space="preserve"> - </v>
      </c>
      <c r="AK9" s="333"/>
      <c r="AL9" s="478"/>
      <c r="AM9" s="334">
        <f>IF(ISNUMBER(Datos!R9),Datos!R9," - ")</f>
        <v>8810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643</v>
      </c>
      <c r="BD9" s="228">
        <f>IF(ISNUMBER(Datos!N9),Datos!N9," - ")</f>
        <v>646</v>
      </c>
      <c r="BE9" s="228" t="str">
        <f>IF(ISNUMBER(Datos!BW9),Datos!BW9," - ")</f>
        <v xml:space="preserve"> - </v>
      </c>
      <c r="BF9" s="227" t="str">
        <f>IF(ISNUMBER(Datos!BX9),Datos!BX9," - ")</f>
        <v xml:space="preserve"> - </v>
      </c>
      <c r="BG9" s="242">
        <f>IF(ISNUMBER(IF(J_V="SI",Datos!K9/Datos!J9,(Datos!K9+Datos!AA9)/(Datos!J9+Datos!Z9))),IF(J_V="SI",Datos!K9/Datos!J9,(Datos!K9+Datos!AA9)/(Datos!J9+Datos!Z9))," - ")</f>
        <v>1.1056958308866707</v>
      </c>
      <c r="BH9" s="259">
        <f>IF(ISNUMBER(((IF(J_V="SI",Datos!L9/Datos!K9,(Datos!L9+Datos!AB9)/(Datos!K9+Datos!AA9)))*11)/factor_trimestre),((IF(J_V="SI",Datos!L9/Datos!K9,(Datos!L9+Datos!AB9)/(Datos!K9+Datos!AA9)))*11)/factor_trimestre," - ")</f>
        <v>4.7365905469994694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2.7165675644164625E-2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73</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5</v>
      </c>
      <c r="AD10" s="333"/>
      <c r="AE10" s="483"/>
      <c r="AF10" s="331">
        <f>IF(ISNUMBER(Datos!L10),Datos!L10,"-")</f>
        <v>61</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16</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5.0833333333333339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-4.4776119402985072E-2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346</v>
      </c>
      <c r="O11" s="333"/>
      <c r="P11" s="333"/>
      <c r="Q11" s="225">
        <f>IF(ISNUMBER(Datos!P11),Datos!P11,0)</f>
        <v>29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18</v>
      </c>
      <c r="AD11" s="333"/>
      <c r="AE11" s="483"/>
      <c r="AF11" s="331" t="str">
        <f>IF(ISNUMBER(IF(J_V="SI",Datos!L11,Datos!L11+Datos!AB11)-IF(Monitorios="SI",Datos!CD11,0)),
                          IF(J_V="SI",Datos!L11,Datos!L11+Datos!AB11)-IF(Monitorios="SI",Datos!CD11,0),
                          " - ")</f>
        <v xml:space="preserve"> - </v>
      </c>
      <c r="AG11" s="333"/>
      <c r="AH11" s="333">
        <f>IF(ISNUMBER(Datos!AB11),Datos!AB11,"-")</f>
        <v>205</v>
      </c>
      <c r="AI11" s="333"/>
      <c r="AJ11" s="333"/>
      <c r="AK11" s="333"/>
      <c r="AL11" s="478"/>
      <c r="AM11" s="334">
        <f>IF(ISNUMBER(Datos!R11),Datos!R11," - ")</f>
        <v>326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129</v>
      </c>
      <c r="BD11" s="228">
        <f>IF(ISNUMBER(Datos!N11),Datos!N11," - ")</f>
        <v>420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1.0494417862838916</v>
      </c>
      <c r="BH11" s="259">
        <f>IF(ISNUMBER(((IF(J_V="SI",Datos!L11/Datos!K11,(Datos!L11+Datos!AB11)/(Datos!K11+Datos!AA11)))*11)/factor_trimestre),((IF(J_V="SI",Datos!L11/Datos!K11,(Datos!L11+Datos!AB11)/(Datos!K11+Datos!AA11)))*11)/factor_trimestre," - ")</f>
        <v>3.4194528875379944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3.4920634920634921E-2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73</v>
      </c>
      <c r="G13" s="897">
        <f t="shared" si="0"/>
        <v>73</v>
      </c>
      <c r="H13" s="898">
        <f t="shared" si="0"/>
        <v>0</v>
      </c>
      <c r="I13" s="897">
        <f t="shared" si="0"/>
        <v>0</v>
      </c>
      <c r="J13" s="866">
        <f t="shared" si="0"/>
        <v>0</v>
      </c>
      <c r="K13" s="866">
        <f t="shared" si="0"/>
        <v>0</v>
      </c>
      <c r="L13" s="898">
        <f t="shared" si="0"/>
        <v>0</v>
      </c>
      <c r="M13" s="898">
        <f t="shared" si="0"/>
        <v>0</v>
      </c>
      <c r="N13" s="898">
        <f t="shared" si="0"/>
        <v>620</v>
      </c>
      <c r="O13" s="899">
        <f t="shared" si="0"/>
        <v>0</v>
      </c>
      <c r="P13" s="899">
        <f t="shared" si="0"/>
        <v>0</v>
      </c>
      <c r="Q13" s="898">
        <f t="shared" si="0"/>
        <v>590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349</v>
      </c>
      <c r="AD13" s="898">
        <f t="shared" si="1"/>
        <v>0</v>
      </c>
      <c r="AE13" s="898">
        <f t="shared" si="1"/>
        <v>0</v>
      </c>
      <c r="AF13" s="898">
        <f t="shared" si="1"/>
        <v>61</v>
      </c>
      <c r="AG13" s="898">
        <f t="shared" si="1"/>
        <v>0</v>
      </c>
      <c r="AH13" s="898">
        <f t="shared" si="1"/>
        <v>403</v>
      </c>
      <c r="AI13" s="898">
        <f t="shared" si="1"/>
        <v>0</v>
      </c>
      <c r="AJ13" s="898">
        <f t="shared" si="1"/>
        <v>0</v>
      </c>
      <c r="AK13" s="898">
        <f t="shared" si="1"/>
        <v>0</v>
      </c>
      <c r="AL13" s="898">
        <f t="shared" si="1"/>
        <v>0</v>
      </c>
      <c r="AM13" s="898">
        <f t="shared" si="1"/>
        <v>9200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785</v>
      </c>
      <c r="BD13" s="898">
        <f t="shared" si="1"/>
        <v>1082</v>
      </c>
      <c r="BE13" s="898">
        <f t="shared" si="1"/>
        <v>0</v>
      </c>
      <c r="BF13" s="898">
        <f t="shared" si="1"/>
        <v>0</v>
      </c>
      <c r="BG13" s="898">
        <f>IF(ISNUMBER(Datos!K13/Datos!J13),Datos!K13/Datos!J13," - ")</f>
        <v>1.1361014994232987</v>
      </c>
      <c r="BH13" s="902">
        <f>IF(ISNUMBER(((Datos!L13/Datos!K13)*11)/factor_trimestre),((Datos!L13/Datos!K13)*11)/factor_trimestre," - ")</f>
        <v>5.1487309644670054</v>
      </c>
      <c r="BI13" s="898">
        <f>IF(ISNUMBER('Resol  Asuntos'!D13/NºAsuntos!G13),'Resol  Asuntos'!D13/NºAsuntos!G13," - ")</f>
        <v>0.30461777260380285</v>
      </c>
      <c r="BJ13" s="898" t="str">
        <f>IF(ISNUMBER(Datos!CI13/Datos!CJ13),Datos!CI13/Datos!CJ13," - ")</f>
        <v xml:space="preserve"> - </v>
      </c>
      <c r="BK13" s="898">
        <f>SUBTOTAL(9,BK8:BK12)</f>
        <v>0</v>
      </c>
      <c r="BL13" s="898">
        <f>IF(ISNUMBER((I13-AB13+L13)/(F13)),(I13-AB13+L13)/(F13)," - ")</f>
        <v>-0.49315068493150682</v>
      </c>
      <c r="BM13" s="903">
        <f>SUBTOTAL(9,BM9:BM12)</f>
        <v>1.7310191161814474E-2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2320</v>
      </c>
      <c r="G15" s="597">
        <f>IF(ISNUMBER(IF(D_I="SI",Datos!I15,Datos!I15+Datos!AC15)),IF(D_I="SI",Datos!I15,Datos!I15+Datos!AC15)," - ")</f>
        <v>2287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1650</v>
      </c>
      <c r="AC15" s="225">
        <f>IF(ISNUMBER(Datos!Q15),Datos!Q15," - ")</f>
        <v>67</v>
      </c>
      <c r="AD15" s="333"/>
      <c r="AE15" s="483"/>
      <c r="AF15" s="595">
        <f>IF(ISNUMBER(IF(D_I="SI",Datos!L15,Datos!L15+Datos!AF15)),IF(D_I="SI",Datos!L15,Datos!L15+Datos!AF15)," - ")</f>
        <v>2452</v>
      </c>
      <c r="AG15" s="333"/>
      <c r="AH15" s="333"/>
      <c r="AI15" s="333"/>
      <c r="AJ15" s="333"/>
      <c r="AK15" s="333"/>
      <c r="AL15" s="478"/>
      <c r="AM15" s="334">
        <f>IF(ISNUMBER(Datos!R15),Datos!R15," - ")</f>
        <v>156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294</v>
      </c>
      <c r="BD15" s="228">
        <f>IF(ISNUMBER(Datos!N15),Datos!N15," - ")</f>
        <v>742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0.92592592592592593</v>
      </c>
      <c r="BH15" s="259">
        <f>IF(ISNUMBER(((IF(D_I="SI",Datos!L15/Datos!K15,(Datos!L15+Datos!AF15)/(Datos!K15+Datos!AE15)))*11)/factor_trimestre),((IF(D_I="SI",Datos!L15/Datos!K15,(Datos!L15+Datos!AF15)/(Datos!K15+Datos!AE15)))*11)/factor_trimestre," - ")</f>
        <v>4.4581818181818189</v>
      </c>
      <c r="BI15" s="242">
        <f>IF(ISNUMBER('Resol  Asuntos'!D15/NºAsuntos!G15),'Resol  Asuntos'!D15/NºAsuntos!G15," - ")</f>
        <v>0.17818181818181819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188</v>
      </c>
      <c r="AC17" s="225">
        <f>IF(ISNUMBER(Datos!Q17),Datos!Q17," - ")</f>
        <v>2</v>
      </c>
      <c r="AD17" s="333"/>
      <c r="AE17" s="483"/>
      <c r="AF17" s="331">
        <f>IF(ISNUMBER(Datos!L17),Datos!L17,"-")</f>
        <v>151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96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1.0386740331491713</v>
      </c>
      <c r="BH17" s="259">
        <f>IF(ISNUMBER(((IF(D_I="SI",Datos!L17/Datos!K17,(Datos!L17+Datos!AF17)/(Datos!K17+Datos!AE17)))*11)/factor_trimestre),((IF(D_I="SI",Datos!L17/Datos!K17,(Datos!L17+Datos!AF17)/(Datos!K17+Datos!AE17)))*11)/factor_trimestre," - ")</f>
        <v>2.4095744680851068</v>
      </c>
      <c r="BI17" s="242">
        <f>IF(ISNUMBER('Resol  Asuntos'!D17/NºAsuntos!G17),'Resol  Asuntos'!D17/NºAsuntos!G17," - ")</f>
        <v>0.15957446808510639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2320</v>
      </c>
      <c r="G18" s="897">
        <f>SUBTOTAL(9,G15:G17)</f>
        <v>2434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1838</v>
      </c>
      <c r="AC18" s="898">
        <f t="shared" si="4"/>
        <v>69</v>
      </c>
      <c r="AD18" s="898">
        <f t="shared" si="4"/>
        <v>0</v>
      </c>
      <c r="AE18" s="898">
        <f t="shared" si="4"/>
        <v>0</v>
      </c>
      <c r="AF18" s="898">
        <f t="shared" si="4"/>
        <v>2603</v>
      </c>
      <c r="AG18" s="898">
        <f t="shared" si="4"/>
        <v>0</v>
      </c>
      <c r="AH18" s="898">
        <f t="shared" si="4"/>
        <v>0</v>
      </c>
      <c r="AI18" s="898">
        <f t="shared" si="4"/>
        <v>0</v>
      </c>
      <c r="AJ18" s="898">
        <f t="shared" si="4"/>
        <v>0</v>
      </c>
      <c r="AK18" s="898">
        <f t="shared" si="4"/>
        <v>0</v>
      </c>
      <c r="AL18" s="898">
        <f t="shared" si="4"/>
        <v>0</v>
      </c>
      <c r="AM18" s="898">
        <f t="shared" si="4"/>
        <v>160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324</v>
      </c>
      <c r="BD18" s="898">
        <f t="shared" si="4"/>
        <v>838</v>
      </c>
      <c r="BE18" s="898">
        <f t="shared" si="4"/>
        <v>0</v>
      </c>
      <c r="BF18" s="898">
        <f t="shared" si="4"/>
        <v>0</v>
      </c>
      <c r="BG18" s="898">
        <f>IF(ISNUMBER(Datos!K18/Datos!J18),Datos!K18/Datos!J18," - ")</f>
        <v>0.93632195618950587</v>
      </c>
      <c r="BH18" s="902">
        <f>IF(ISNUMBER(((Datos!L18/Datos!K18)*11)/factor_trimestre),((Datos!L18/Datos!K18)*11)/factor_trimestre," - ")</f>
        <v>4.2486398258977154</v>
      </c>
      <c r="BI18" s="898">
        <f>SUBTOTAL(9,BI15:BI17)</f>
        <v>0.33775628626692455</v>
      </c>
      <c r="BJ18" s="898">
        <f>SUBTOTAL(9,BJ15:BJ17)</f>
        <v>0</v>
      </c>
      <c r="BK18" s="898">
        <f>SUBTOTAL(9,BK15:BK17)</f>
        <v>0</v>
      </c>
      <c r="BL18" s="898">
        <f>IF(ISNUMBER((I18-AB18+L18)/(F18)),(I18-AB18+L18)/(F18)," - ")</f>
        <v>-0.79224137931034477</v>
      </c>
      <c r="BM18" s="904">
        <f>IF(ISNUMBER((Datos!P18-Datos!Q18)/(Datos!R18-Datos!P18+Datos!Q18)),(Datos!P18-Datos!Q18)/(Datos!R18-Datos!P18+Datos!Q18)," - ")</f>
        <v>3.896103896103896E-2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2393</v>
      </c>
      <c r="G19" s="819">
        <f t="shared" si="6"/>
        <v>2507</v>
      </c>
      <c r="H19" s="821">
        <f t="shared" si="6"/>
        <v>0</v>
      </c>
      <c r="I19" s="819">
        <f t="shared" si="6"/>
        <v>0</v>
      </c>
      <c r="J19" s="821">
        <f t="shared" si="6"/>
        <v>0</v>
      </c>
      <c r="K19" s="821">
        <f t="shared" si="6"/>
        <v>0</v>
      </c>
      <c r="L19" s="880">
        <f t="shared" si="6"/>
        <v>0</v>
      </c>
      <c r="M19" s="880">
        <f t="shared" si="6"/>
        <v>0</v>
      </c>
      <c r="N19" s="880">
        <f t="shared" si="6"/>
        <v>620</v>
      </c>
      <c r="O19" s="880">
        <f t="shared" si="6"/>
        <v>0</v>
      </c>
      <c r="P19" s="880">
        <f t="shared" si="6"/>
        <v>0</v>
      </c>
      <c r="Q19" s="821">
        <f t="shared" si="6"/>
        <v>665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1874</v>
      </c>
      <c r="AC19" s="820">
        <f t="shared" si="7"/>
        <v>418</v>
      </c>
      <c r="AD19" s="820">
        <f t="shared" si="7"/>
        <v>0</v>
      </c>
      <c r="AE19" s="820">
        <f t="shared" si="7"/>
        <v>0</v>
      </c>
      <c r="AF19" s="827">
        <f t="shared" si="7"/>
        <v>2664</v>
      </c>
      <c r="AG19" s="827">
        <f t="shared" si="7"/>
        <v>0</v>
      </c>
      <c r="AH19" s="827">
        <f t="shared" si="7"/>
        <v>403</v>
      </c>
      <c r="AI19" s="827">
        <f t="shared" si="7"/>
        <v>0</v>
      </c>
      <c r="AJ19" s="820">
        <f t="shared" si="7"/>
        <v>0</v>
      </c>
      <c r="AK19" s="827">
        <f t="shared" si="7"/>
        <v>0</v>
      </c>
      <c r="AL19" s="827">
        <f t="shared" si="7"/>
        <v>0</v>
      </c>
      <c r="AM19" s="827">
        <f t="shared" si="7"/>
        <v>9360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1109</v>
      </c>
      <c r="BD19" s="819">
        <f t="shared" si="7"/>
        <v>1920</v>
      </c>
      <c r="BE19" s="819">
        <f t="shared" si="7"/>
        <v>0</v>
      </c>
      <c r="BF19" s="829">
        <f t="shared" si="7"/>
        <v>0</v>
      </c>
      <c r="BG19" s="914">
        <f>IF(ISNUMBER(Datos!K19/Datos!J19),Datos!K19/Datos!J19," - ")</f>
        <v>1.0300243440627537</v>
      </c>
      <c r="BH19" s="914">
        <f>IF(ISNUMBER(((Datos!L19/Datos!K19)*11)/factor_trimestre),((Datos!L19/Datos!K19)*11)/factor_trimestre," - ")</f>
        <v>4.7142857142857144</v>
      </c>
      <c r="BI19" s="812">
        <f>IF(ISNUMBER(Datos!J19/Datos!I19),Datos!J19/Datos!I19," - ")</f>
        <v>0.6111754008927095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-0.78311742582532384</v>
      </c>
      <c r="BM19" s="888">
        <f>IF(ISNUMBER((Datos!P19-Datos!Q19+R19)/(Datos!R19-Datos!P19+Datos!Q19-R19)),(Datos!P19-Datos!Q19+R19)/(Datos!R19-Datos!P19+Datos!Q19-R19)," - ")</f>
        <v>2.710413694721826E-2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1002.8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2.7284509239574835</v>
      </c>
      <c r="F21" s="550">
        <f>IF(ISNUMBER(STDEV(F8:F18)),STDEV(F8:F18),"-")</f>
        <v>1297.3060548690892</v>
      </c>
      <c r="G21" s="551">
        <f>IF(ISNUMBER(STDEV(G8:G18)),STDEV(G8:G18),"-")</f>
        <v>1240.8618778897189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912.30192370727798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298.88873546936526</v>
      </c>
      <c r="BD21" s="550"/>
      <c r="BE21" s="550">
        <f>IF(ISNUMBER(STDEV(BE8:BE18)),STDEV(BE8:BE18),"-")</f>
        <v>0</v>
      </c>
      <c r="BF21" s="555">
        <f>IF(ISNUMBER(STDEV(BF8:BF18)),STDEV(BF8:BF18),"-")</f>
        <v>0</v>
      </c>
      <c r="BG21" s="774">
        <f>IF(ISNUMBER(STDEV(BG8:BG18)),STDEV(BG8:BG18),"-")</f>
        <v>0.19353564475140059</v>
      </c>
      <c r="BH21" s="775">
        <f>IF(ISNUMBER(STDEV(BH8:BH18)),STDEV(BH8:BH18),"-")</f>
        <v>0.98747477177493359</v>
      </c>
      <c r="BI21" s="248">
        <f>IF(ISNUMBER(STDEV(BI8:BI18)),STDEV(BI8:BI18),"-")</f>
        <v>8.929388581016591E-2</v>
      </c>
      <c r="BJ21" s="229" t="str">
        <f>IF(ISNUMBER(BL21/BM21),BL21/BM21," - ")</f>
        <v xml:space="preserve"> - </v>
      </c>
      <c r="BK21" s="574"/>
      <c r="BL21" s="558">
        <f>IF(ISNUMBER(STDEV(BL8:BL18)),STDEV(BL8:BL18),"-")</f>
        <v>0.21148905818506927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9JC3q7SL/ON6jXuEAVRZal41xKs26xQhnVxc/Y9xH42zBNKTQfFEuwkRz4Mz2g61BSezbJlMuhQ+2dLk5cddQ==" saltValue="//RmBP6QYXkvekh6xM7e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OURENSE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559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326</v>
      </c>
      <c r="AA9" s="331" t="str">
        <f>IF(ISNUMBER(IF(J_V="SI",Datos!L9,Datos!L9+Datos!AB9)-IF(Monitorios="SI",Datos!CD9,0)),
                          IF(J_V="SI",Datos!L9,Datos!L9+Datos!AB9)-IF(Monitorios="SI",Datos!CD9,0),
                          " - ")</f>
        <v xml:space="preserve"> - </v>
      </c>
      <c r="AB9" s="333"/>
      <c r="AC9" s="333"/>
      <c r="AD9" s="483"/>
      <c r="AE9" s="483">
        <f>IF(ISNUMBER(Datos!R9),Datos!R9," - ")</f>
        <v>8810</v>
      </c>
      <c r="AF9" s="228" t="str">
        <f>IF(ISNUMBER(Datos!BV9),Datos!BV9," - ")</f>
        <v xml:space="preserve"> - </v>
      </c>
      <c r="AG9" s="224" t="str">
        <f>IF(ISNUMBER(Datos!DV9),Datos!DV9," - ")</f>
        <v xml:space="preserve"> - </v>
      </c>
      <c r="AH9" s="297"/>
      <c r="AI9" s="226"/>
      <c r="AJ9" s="224">
        <f>IF(ISNUMBER(Datos!M9),Datos!M9," - ")</f>
        <v>643</v>
      </c>
      <c r="AK9" s="228">
        <f>IF(ISNUMBER(Datos!N9),Datos!N9," - ")</f>
        <v>646</v>
      </c>
      <c r="AL9" s="228" t="str">
        <f>IF(ISNUMBER(Datos!BW9),Datos!BW9," - ")</f>
        <v xml:space="preserve"> - </v>
      </c>
      <c r="AM9" s="227" t="str">
        <f>IF(ISNUMBER(Datos!BX9),Datos!BX9," - ")</f>
        <v xml:space="preserve"> - </v>
      </c>
      <c r="AN9" s="242"/>
      <c r="AO9" s="259">
        <f>IF(ISNUMBER(((NºAsuntos!I9/NºAsuntos!G9)*11)/factor_trimestre),((NºAsuntos!I9/NºAsuntos!G9)*11)/factor_trimestre," - ")</f>
        <v>4.7365905469994694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2.7165675644164625E-2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73</v>
      </c>
      <c r="G10" s="224">
        <f>IF(ISNUMBER(Datos!I10),Datos!I10," - ")</f>
        <v>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5</v>
      </c>
      <c r="AA10" s="331">
        <f>IF(ISNUMBER(Datos!L10),Datos!L10,"-")</f>
        <v>61</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13</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5.0833333333333339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-4.4776119402985072E-2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18</v>
      </c>
      <c r="AA11" s="331" t="str">
        <f>IF(ISNUMBER(IF(J_V="SI",Datos!L11,Datos!L11+Datos!AB11)-IF(Monitorios="SI",Datos!CD11,0)),
                          IF(J_V="SI",Datos!L11,Datos!L11+Datos!AB11)-IF(Monitorios="SI",Datos!CD11,0),
                          " - ")</f>
        <v xml:space="preserve"> - </v>
      </c>
      <c r="AB11" s="333"/>
      <c r="AC11" s="333"/>
      <c r="AD11" s="483"/>
      <c r="AE11" s="483">
        <f>IF(ISNUMBER(Datos!R11),Datos!R11," - ")</f>
        <v>326</v>
      </c>
      <c r="AF11" s="228" t="str">
        <f>IF(ISNUMBER(Datos!BV11),Datos!BV11," - ")</f>
        <v xml:space="preserve"> - </v>
      </c>
      <c r="AG11" s="224" t="str">
        <f>IF(ISNUMBER(Datos!DV11),Datos!DV11," - ")</f>
        <v xml:space="preserve"> - </v>
      </c>
      <c r="AH11" s="297"/>
      <c r="AI11" s="226"/>
      <c r="AJ11" s="224">
        <f>IF(ISNUMBER(Datos!M11),Datos!M11," - ")</f>
        <v>129</v>
      </c>
      <c r="AK11" s="228">
        <f>IF(ISNUMBER(Datos!N11),Datos!N11," - ")</f>
        <v>420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3.4194528875379944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3.4920634920634921E-2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73</v>
      </c>
      <c r="G13" s="897">
        <f>SUBTOTAL(9,G8:G12)</f>
        <v>73</v>
      </c>
      <c r="H13" s="907"/>
      <c r="I13" s="897">
        <f t="shared" ref="I13:N13" si="0">SUBTOTAL(9,I8:I12)</f>
        <v>0</v>
      </c>
      <c r="J13" s="866">
        <f t="shared" si="0"/>
        <v>0</v>
      </c>
      <c r="K13" s="907">
        <f t="shared" si="0"/>
        <v>0</v>
      </c>
      <c r="L13" s="907">
        <f t="shared" si="0"/>
        <v>0</v>
      </c>
      <c r="M13" s="907">
        <f t="shared" si="0"/>
        <v>0</v>
      </c>
      <c r="N13" s="907">
        <f t="shared" si="0"/>
        <v>590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349</v>
      </c>
      <c r="AA13" s="899">
        <f t="shared" si="2"/>
        <v>61</v>
      </c>
      <c r="AB13" s="899">
        <f t="shared" si="2"/>
        <v>0</v>
      </c>
      <c r="AC13" s="899">
        <f t="shared" si="2"/>
        <v>0</v>
      </c>
      <c r="AD13" s="899">
        <f t="shared" si="2"/>
        <v>0</v>
      </c>
      <c r="AE13" s="899">
        <f t="shared" si="2"/>
        <v>9200</v>
      </c>
      <c r="AF13" s="907">
        <f t="shared" si="2"/>
        <v>0</v>
      </c>
      <c r="AG13" s="907">
        <f t="shared" si="2"/>
        <v>0</v>
      </c>
      <c r="AH13" s="907">
        <f t="shared" si="2"/>
        <v>0</v>
      </c>
      <c r="AI13" s="907">
        <f t="shared" si="2"/>
        <v>0</v>
      </c>
      <c r="AJ13" s="907">
        <f t="shared" si="2"/>
        <v>785</v>
      </c>
      <c r="AK13" s="907">
        <f t="shared" si="2"/>
        <v>1082</v>
      </c>
      <c r="AL13" s="907">
        <f t="shared" si="2"/>
        <v>0</v>
      </c>
      <c r="AM13" s="907">
        <f t="shared" si="2"/>
        <v>0</v>
      </c>
      <c r="AN13" s="907">
        <f t="shared" si="2"/>
        <v>0</v>
      </c>
      <c r="AO13" s="903">
        <f>IF(ISNUMBER(((NºAsuntos!I13/NºAsuntos!G13)*11)/factor_trimestre),((NºAsuntos!I13/NºAsuntos!G13)*11)/factor_trimestre," - ")</f>
        <v>4.4051222351571599</v>
      </c>
      <c r="AP13" s="909" t="str">
        <f>IF(ISNUMBER(Datos!CI13/Datos!CJ13),Datos!CI13/Datos!CJ13," - ")</f>
        <v xml:space="preserve"> - </v>
      </c>
      <c r="AQ13" s="927">
        <f t="shared" ref="AQ13:AV13" si="3">SUBTOTAL(9,AQ9:AQ12)</f>
        <v>0</v>
      </c>
      <c r="AR13" s="927">
        <f t="shared" si="3"/>
        <v>1.7310191161814474E-2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2320</v>
      </c>
      <c r="G15" s="224">
        <f>IF(ISNUMBER(IF(D_I="SI",Datos!I15,Datos!I15+Datos!AC15)),IF(D_I="SI",Datos!I15,Datos!I15+Datos!AC15)," - ")</f>
        <v>2287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1650</v>
      </c>
      <c r="Z15" s="618">
        <f>IF(ISNUMBER(Datos!Q15),Datos!Q15," - ")</f>
        <v>67</v>
      </c>
      <c r="AA15" s="331">
        <f>IF(ISNUMBER(IF(D_I="SI",Datos!L15,Datos!L15+Datos!AF15)),IF(D_I="SI",Datos!L15,Datos!L15+Datos!AF15)," - ")</f>
        <v>2452</v>
      </c>
      <c r="AB15" s="333"/>
      <c r="AC15" s="333"/>
      <c r="AD15" s="483"/>
      <c r="AE15" s="483">
        <f>IF(ISNUMBER(Datos!R15),Datos!R15," - ")</f>
        <v>156</v>
      </c>
      <c r="AF15" s="228" t="str">
        <f>IF(ISNUMBER(Datos!BV15),Datos!BV15," - ")</f>
        <v xml:space="preserve"> - </v>
      </c>
      <c r="AG15" s="224"/>
      <c r="AH15" s="297"/>
      <c r="AI15" s="226"/>
      <c r="AJ15" s="224">
        <f>IF(ISNUMBER(Datos!M15),Datos!M15," - ")</f>
        <v>294</v>
      </c>
      <c r="AK15" s="228">
        <f>IF(ISNUMBER(Datos!N15),Datos!N15," - ")</f>
        <v>742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4.4581818181818189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188</v>
      </c>
      <c r="Z17" s="618">
        <f>IF(ISNUMBER(Datos!Q17),Datos!Q17," - ")</f>
        <v>2</v>
      </c>
      <c r="AA17" s="331">
        <f>IF(ISNUMBER(Datos!L17),Datos!L17,"-")</f>
        <v>151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30</v>
      </c>
      <c r="AK17" s="228">
        <f>IF(ISNUMBER(Datos!N17),Datos!N17," - ")</f>
        <v>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2.4095744680851068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2320</v>
      </c>
      <c r="G18" s="897">
        <f>SUBTOTAL(9,G15:G17)</f>
        <v>2434</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1838</v>
      </c>
      <c r="Z18" s="931">
        <f t="shared" si="5"/>
        <v>69</v>
      </c>
      <c r="AA18" s="931">
        <f t="shared" si="5"/>
        <v>2603</v>
      </c>
      <c r="AB18" s="931">
        <f t="shared" si="5"/>
        <v>0</v>
      </c>
      <c r="AC18" s="931">
        <f t="shared" si="5"/>
        <v>0</v>
      </c>
      <c r="AD18" s="931">
        <f t="shared" si="5"/>
        <v>0</v>
      </c>
      <c r="AE18" s="931">
        <f t="shared" si="5"/>
        <v>160</v>
      </c>
      <c r="AF18" s="931">
        <f t="shared" si="5"/>
        <v>0</v>
      </c>
      <c r="AG18" s="931">
        <f t="shared" si="5"/>
        <v>0</v>
      </c>
      <c r="AH18" s="931">
        <f t="shared" si="5"/>
        <v>0</v>
      </c>
      <c r="AI18" s="931">
        <f t="shared" si="5"/>
        <v>0</v>
      </c>
      <c r="AJ18" s="931">
        <f t="shared" si="5"/>
        <v>324</v>
      </c>
      <c r="AK18" s="931">
        <f t="shared" si="5"/>
        <v>838</v>
      </c>
      <c r="AL18" s="931">
        <f t="shared" si="5"/>
        <v>0</v>
      </c>
      <c r="AM18" s="931">
        <f t="shared" si="5"/>
        <v>0</v>
      </c>
      <c r="AN18" s="931">
        <f t="shared" si="5"/>
        <v>0</v>
      </c>
      <c r="AO18" s="933">
        <f>IF(ISNUMBER(((NºAsuntos!I18/NºAsuntos!G18)*11)/factor_trimestre),((NºAsuntos!I18/NºAsuntos!G18)*11)/factor_trimestre," - ")</f>
        <v>4.2486398258977154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2393</v>
      </c>
      <c r="G19" s="819">
        <f t="shared" si="7"/>
        <v>2507</v>
      </c>
      <c r="H19" s="820">
        <f t="shared" si="7"/>
        <v>0</v>
      </c>
      <c r="I19" s="819">
        <f t="shared" si="7"/>
        <v>0</v>
      </c>
      <c r="J19" s="821">
        <f t="shared" si="7"/>
        <v>0</v>
      </c>
      <c r="K19" s="819">
        <f t="shared" si="7"/>
        <v>0</v>
      </c>
      <c r="L19" s="822">
        <f t="shared" si="7"/>
        <v>0</v>
      </c>
      <c r="M19" s="819">
        <f t="shared" si="7"/>
        <v>0</v>
      </c>
      <c r="N19" s="820">
        <f t="shared" si="7"/>
        <v>665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1874</v>
      </c>
      <c r="Z19" s="826">
        <f t="shared" si="8"/>
        <v>418</v>
      </c>
      <c r="AA19" s="827">
        <f t="shared" si="8"/>
        <v>2664</v>
      </c>
      <c r="AB19" s="827">
        <f t="shared" si="8"/>
        <v>0</v>
      </c>
      <c r="AC19" s="827">
        <f t="shared" si="8"/>
        <v>0</v>
      </c>
      <c r="AD19" s="828">
        <f t="shared" si="8"/>
        <v>0</v>
      </c>
      <c r="AE19" s="828">
        <f t="shared" si="8"/>
        <v>9360</v>
      </c>
      <c r="AF19" s="829">
        <f t="shared" si="8"/>
        <v>0</v>
      </c>
      <c r="AG19" s="830">
        <f t="shared" si="8"/>
        <v>0</v>
      </c>
      <c r="AH19" s="831">
        <f t="shared" si="8"/>
        <v>0</v>
      </c>
      <c r="AI19" s="829">
        <f t="shared" si="8"/>
        <v>0</v>
      </c>
      <c r="AJ19" s="819">
        <f t="shared" si="8"/>
        <v>1109</v>
      </c>
      <c r="AK19" s="819">
        <f t="shared" si="8"/>
        <v>1920</v>
      </c>
      <c r="AL19" s="819">
        <f t="shared" si="8"/>
        <v>0</v>
      </c>
      <c r="AM19" s="832">
        <f t="shared" si="8"/>
        <v>0</v>
      </c>
      <c r="AN19" s="822">
        <f>IF(ISNUMBER(Datos!K19/Datos!J19),Datos!K19/Datos!J19," - ")</f>
        <v>1.0300243440627537</v>
      </c>
      <c r="AO19" s="822">
        <f>IF(ISNUMBER(FIND("06",Criterios!A8,1)),(IF(ISNUMBER(((Datos!R19/Datos!Q19)*11)/factor_trimestre),((Datos!R19/Datos!Q19)*11)/factor_trimestre," - ")),(IF(ISNUMBER(((Datos!L19/Datos!K19)*11)/factor_trimestre),((Datos!L19/Datos!K19)*11)/factor_trimestre," - ")))</f>
        <v>4.7142857142857144</v>
      </c>
      <c r="AP19" s="833" t="str">
        <f>IF(ISNUMBER(Datos!CI19/Datos!CJ19),Datos!CI19/Datos!CJ19," - ")</f>
        <v xml:space="preserve"> - </v>
      </c>
      <c r="AQ19" s="833">
        <f>IF(OR(ISNUMBER(FIND("01",Criterios!A8,1)),ISNUMBER(FIND("02",Criterios!A8,1)),ISNUMBER(FIND("03",Criterios!A8,1)),ISNUMBER(FIND("04",Criterios!A8,1))),(J19-Y19+K19)/(F19-K19),(I19-Y19+K19)/(F19-K19))</f>
        <v>-0.78311742582532384</v>
      </c>
      <c r="AR19" s="833">
        <f>IF(ISNUMBER((Datos!P19-Datos!Q19+O19)/(Datos!R19-Datos!P19+Datos!Q19-O19)),(Datos!P19-Datos!Q19+O19)/(Datos!R19-Datos!P19+Datos!Q19-O19)," - ")</f>
        <v>2.710413694721826E-2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1002.8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1297.3060548690892</v>
      </c>
      <c r="G21" s="551">
        <f>IF(ISNUMBER(STDEV(G8:G18)),STDEV(G8:G18),"-")</f>
        <v>1240.8618778897189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298.88873546936526</v>
      </c>
      <c r="AK21" s="251"/>
      <c r="AL21" s="251">
        <f>IF(ISNUMBER(STDEV(AL8:AL18)),STDEV(AL8:AL18),"-")</f>
        <v>0</v>
      </c>
      <c r="AM21" s="253">
        <f>IF(ISNUMBER(STDEV(AM8:AM18)),STDEV(AM8:AM18),"-")</f>
        <v>0</v>
      </c>
      <c r="AN21" s="538">
        <f>IF(ISNUMBER(STDEV(AN8:AN18)),STDEV(AN8:AN18),"-")</f>
        <v>0</v>
      </c>
      <c r="AO21" s="539">
        <f>IF(ISNUMBER(STDEV(AO8:AO18)),STDEV(AO8:AO18),"-")</f>
        <v>0.90699436476585404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DFWQ1tW/xNzLGUa7VIYSpIMdm0qodDeviKCRn8Cc+rO1k8ybIYai3w7DtgvLTAV1+ecNLExjjGaGeNDdgFAg==" saltValue="rY58rcoVfl37ArFuxMql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N5INTI5jCaUqou7vz7jkJxCd/PCGhRr7Ad19gTxkoCQgxBXo23flT04Hj6Pb4IrhzyxZlyYOPSsxyM3i962mw==" saltValue="YXrJ76vFIwpFbVKUA8F4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KpKlgxGKuWqage9Xm8p7m7BT+HOME8s1pJ5tpOSPxTRWXjNZ1iZ3q+Dw/Y4yuMn4Zp3qz2UiRkZU8ZGq0pug==" saltValue="u+PMiutGgEMkYBkcXAn1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0.30461777260380285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0.21539729267809071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BLDJbGJHBNf6/rEVgo9wRYlD/tSbElM9lux9DOnYffXrzCiBCzvOTzjB+Xv0NKIo/gUlsQO0hhgvDSLTjHGvQ==" saltValue="KkwNKfHu5OtOUFFhyDV8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azigPtOm5J0ez4sTn0JQy8xZkrdzIqVL05+5li373u3Hn9/ZyKBXqkXmJXlRYPatA5t6AQKJfaB+HukUGQqvA==" saltValue="g+DTlykiqoe6GMMAgNAH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OURENSE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3151</v>
      </c>
      <c r="D9" s="403">
        <f>IF(ISNUMBER(C9/Datos!BH9),C9/Datos!BH9," - ")</f>
        <v>525.16666666666663</v>
      </c>
      <c r="E9" s="402">
        <f>IF(ISNUMBER(IF(J_V="SI",Datos!J9,Datos!J9+Datos!Z9)),IF(J_V="SI",Datos!J9,Datos!J9+Datos!Z9)," - ")</f>
        <v>1703</v>
      </c>
      <c r="F9" s="403">
        <f>IF(ISNUMBER(E9/B9),E9/B9," - ")</f>
        <v>283.83333333333331</v>
      </c>
      <c r="G9" s="402">
        <f>IF(ISNUMBER(IF(J_V="SI",Datos!K9,Datos!K9+Datos!AA9)),IF(J_V="SI",Datos!K9,Datos!K9+Datos!AA9)," - ")</f>
        <v>1883</v>
      </c>
      <c r="H9" s="403">
        <f>IF(ISNUMBER(G9/B9),G9/B9," - ")</f>
        <v>313.83333333333331</v>
      </c>
      <c r="I9" s="402">
        <f>IF(ISNUMBER(IF(J_V="SI",Datos!L9,Datos!L9+Datos!AB9)),IF(J_V="SI",Datos!L9,Datos!L9+Datos!AB9)," - ")</f>
        <v>2973</v>
      </c>
      <c r="J9" s="403">
        <f>IF(ISNUMBER(I9/B9),I9/B9," - ")</f>
        <v>495.5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73</v>
      </c>
      <c r="D10" s="403">
        <f>IF(ISNUMBER(C10/Datos!BH10),C10/Datos!BH10," - ")</f>
        <v>73</v>
      </c>
      <c r="E10" s="402">
        <f>IF(ISNUMBER(Datos!J10),Datos!J10," - ")</f>
        <v>24</v>
      </c>
      <c r="F10" s="403">
        <f>IF(ISNUMBER(E10/B10),E10/B10," - ")</f>
        <v>24</v>
      </c>
      <c r="G10" s="402">
        <f>IF(ISNUMBER(Datos!K10),Datos!K10," - ")</f>
        <v>36</v>
      </c>
      <c r="H10" s="403">
        <f>IF(ISNUMBER(G10/B10),G10/B10," - ")</f>
        <v>36</v>
      </c>
      <c r="I10" s="402">
        <f>IF(ISNUMBER(Datos!L10),Datos!L10," - ")</f>
        <v>61</v>
      </c>
      <c r="J10" s="403">
        <f>IF(ISNUMBER(I10/B10),I10/B10," - ")</f>
        <v>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781</v>
      </c>
      <c r="D11" s="403">
        <f>IF(ISNUMBER(C11/Datos!BH11),C11/Datos!BH11," - ")</f>
        <v>781</v>
      </c>
      <c r="E11" s="402">
        <f>IF(ISNUMBER(IF(J_V="SI",Datos!J11,Datos!J11+Datos!Z11)),IF(J_V="SI",Datos!J11,Datos!J11+Datos!Z11)," - ")</f>
        <v>627</v>
      </c>
      <c r="F11" s="403">
        <f>IF(ISNUMBER(E11/B11),E11/B11," - ")</f>
        <v>627</v>
      </c>
      <c r="G11" s="402">
        <f>IF(ISNUMBER(IF(J_V="SI",Datos!K11,Datos!K11+Datos!AA11)),IF(J_V="SI",Datos!K11,Datos!K11+Datos!AA11)," - ")</f>
        <v>658</v>
      </c>
      <c r="H11" s="403">
        <f>IF(ISNUMBER(G11/B11),G11/B11," - ")</f>
        <v>658</v>
      </c>
      <c r="I11" s="402">
        <f>IF(ISNUMBER(IF(J_V="SI",Datos!L11,Datos!L11+Datos!AB11)),IF(J_V="SI",Datos!L11,Datos!L11+Datos!AB11)," - ")</f>
        <v>750</v>
      </c>
      <c r="J11" s="403">
        <f>IF(ISNUMBER(I11/B11),I11/B11," - ")</f>
        <v>750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4005</v>
      </c>
      <c r="D13" s="849" t="str">
        <f>IF(ISNUMBER(C13/Datos!BI13),C13/Datos!BI13," - ")</f>
        <v xml:space="preserve"> - </v>
      </c>
      <c r="E13" s="848">
        <f>SUBTOTAL(9,E8:E12)</f>
        <v>2354</v>
      </c>
      <c r="F13" s="849">
        <f>IF(ISNUMBER(E13/B13),E13/B13," - ")</f>
        <v>336.28571428571428</v>
      </c>
      <c r="G13" s="848">
        <f>SUBTOTAL(9,G8:G12)</f>
        <v>2577</v>
      </c>
      <c r="H13" s="849">
        <f>IF(ISNUMBER(G13/B13),G13/B13," - ")</f>
        <v>368.14285714285717</v>
      </c>
      <c r="I13" s="848">
        <f>SUBTOTAL(9,I8:I12)</f>
        <v>3784</v>
      </c>
      <c r="J13" s="849">
        <f>IF(ISNUMBER(I13/B13),I13/B13," - ")</f>
        <v>540.57142857142856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2287</v>
      </c>
      <c r="D15" s="403">
        <f>IF(ISNUMBER(C15/Datos!BH15),C15/Datos!BH15," - ")</f>
        <v>762.33333333333337</v>
      </c>
      <c r="E15" s="402">
        <f>IF(ISNUMBER(IF(D_I="SI",Datos!J15,Datos!J15+Datos!AD15)),IF(D_I="SI",Datos!J15,Datos!J15+Datos!AD15)," - ")</f>
        <v>1782</v>
      </c>
      <c r="F15" s="403">
        <f>IF(ISNUMBER(E15/B15),E15/B15," - ")</f>
        <v>594</v>
      </c>
      <c r="G15" s="402">
        <f>IF(ISNUMBER(IF(D_I="SI",Datos!K15,Datos!K15+Datos!AE15)),IF(D_I="SI",Datos!K15,Datos!K15+Datos!AE15)," - ")</f>
        <v>1650</v>
      </c>
      <c r="H15" s="403">
        <f>IF(ISNUMBER(G15/B15),G15/B15," - ")</f>
        <v>550</v>
      </c>
      <c r="I15" s="402">
        <f>IF(ISNUMBER(IF(D_I="SI",Datos!L15,Datos!L15+Datos!AF15)),IF(D_I="SI",Datos!L15,Datos!L15+Datos!AF15)," - ")</f>
        <v>2452</v>
      </c>
      <c r="J15" s="403">
        <f>IF(ISNUMBER(I15/B15),I15/B15," - ")</f>
        <v>817.33333333333337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147</v>
      </c>
      <c r="D17" s="403">
        <f>IF(ISNUMBER(C17/Datos!BH17),C17/Datos!BH17," - ")</f>
        <v>147</v>
      </c>
      <c r="E17" s="402">
        <f>IF(ISNUMBER(IF(D_I="SI",Datos!J17,Datos!J17+Datos!AD17)),IF(D_I="SI",Datos!J17,Datos!J17+Datos!AD17)," - ")</f>
        <v>181</v>
      </c>
      <c r="F17" s="403">
        <f>IF(ISNUMBER(E17/B17),E17/B17," - ")</f>
        <v>181</v>
      </c>
      <c r="G17" s="402">
        <f>IF(ISNUMBER(IF(D_I="SI",Datos!K17,Datos!K17+Datos!AE17)),IF(D_I="SI",Datos!K17,Datos!K17+Datos!AE17)," - ")</f>
        <v>188</v>
      </c>
      <c r="H17" s="403">
        <f>IF(ISNUMBER(G17/B17),G17/B17," - ")</f>
        <v>188</v>
      </c>
      <c r="I17" s="402">
        <f>IF(ISNUMBER(IF(D_I="SI",Datos!L17,Datos!L17+Datos!AF17)),IF(D_I="SI",Datos!L17,Datos!L17+Datos!AF17)," - ")</f>
        <v>151</v>
      </c>
      <c r="J17" s="403">
        <f>IF(ISNUMBER(I17/B17),I17/B17," - ")</f>
        <v>151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2434</v>
      </c>
      <c r="D18" s="849" t="str">
        <f>IF(ISNUMBER(C18/Datos!BI18),C18/Datos!BI18," - ")</f>
        <v xml:space="preserve"> - </v>
      </c>
      <c r="E18" s="848">
        <f>SUBTOTAL(9,E14:E17)</f>
        <v>1963</v>
      </c>
      <c r="F18" s="849">
        <f>IF(ISNUMBER(E18/B18),E18/B18," - ")</f>
        <v>654.33333333333337</v>
      </c>
      <c r="G18" s="848">
        <f>SUBTOTAL(9,G14:G17)</f>
        <v>1838</v>
      </c>
      <c r="H18" s="849">
        <f>IF(ISNUMBER(G18/B18),G18/B18," - ")</f>
        <v>612.66666666666663</v>
      </c>
      <c r="I18" s="848">
        <f>SUBTOTAL(9,I14:I17)</f>
        <v>2603</v>
      </c>
      <c r="J18" s="849">
        <f>IF(ISNUMBER(I18/B18),I18/B18," - ")</f>
        <v>867.66666666666663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6439</v>
      </c>
      <c r="D19" s="794" t="str">
        <f>IF(ISNUMBER(C19/Datos!BI19),C19/Datos!BI19," - ")</f>
        <v xml:space="preserve"> - </v>
      </c>
      <c r="E19" s="793">
        <f>SUBTOTAL(9,E9:E18)</f>
        <v>4317</v>
      </c>
      <c r="F19" s="794">
        <f>IF(ISNUMBER(E19/B19),E19/B19," - ")</f>
        <v>431.7</v>
      </c>
      <c r="G19" s="793">
        <f>SUBTOTAL(9,G9:G18)</f>
        <v>4415</v>
      </c>
      <c r="H19" s="794">
        <f>IF(ISNUMBER(G19/B19),G19/B19," - ")</f>
        <v>441.5</v>
      </c>
      <c r="I19" s="793">
        <f>SUBTOTAL(9,I9:I18)</f>
        <v>6387</v>
      </c>
      <c r="J19" s="794">
        <f>IF(ISNUMBER(I19/B19),I19/B19," - ")</f>
        <v>638.70000000000005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cRzK97z8tNiaAcqUgC3NVDEqtz0/ND5sAsHDFDeNkUTqWkEMRe3IWTmEAC7HGT8igSAVphFXvDuT6+LaDEvhA==" saltValue="dw3bNOfrLNHGJ9juCIL4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OURENSE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73</v>
      </c>
      <c r="G10" s="683">
        <f>IF(ISNUMBER(Datos!I10),Datos!I10," - ")</f>
        <v>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16</v>
      </c>
      <c r="AN10" s="689">
        <f>IF(ISNUMBER(Datos!BW10+DatosP!BW17),Datos!BW10+DatosP!BW17," - ")</f>
        <v>0</v>
      </c>
      <c r="AO10" s="690">
        <f>IF(ISNUMBER(Datos!BX10+DatosP!BX17),Datos!BX10+DatosP!BX17," - ")</f>
        <v>0</v>
      </c>
      <c r="AP10" s="692">
        <f>IF(ISNUMBER(((Datos!L10/Datos!K10)*11)/factor_trimestre),((Datos!L10/Datos!K10)*11)/factor_trimestre," - ")</f>
        <v>5.0833333333333339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73</v>
      </c>
      <c r="G13" s="937">
        <f t="shared" si="0"/>
        <v>73</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0</v>
      </c>
      <c r="AE13" s="938">
        <f t="shared" si="1"/>
        <v>0</v>
      </c>
      <c r="AF13" s="938">
        <f t="shared" si="1"/>
        <v>61</v>
      </c>
      <c r="AG13" s="938">
        <f t="shared" si="1"/>
        <v>0</v>
      </c>
      <c r="AH13" s="938">
        <f t="shared" si="1"/>
        <v>0</v>
      </c>
      <c r="AI13" s="938">
        <f t="shared" si="1"/>
        <v>0</v>
      </c>
      <c r="AJ13" s="938">
        <f t="shared" si="1"/>
        <v>0</v>
      </c>
      <c r="AK13" s="938">
        <f t="shared" si="1"/>
        <v>0</v>
      </c>
      <c r="AL13" s="938">
        <f t="shared" si="1"/>
        <v>13</v>
      </c>
      <c r="AM13" s="938">
        <f t="shared" si="1"/>
        <v>16</v>
      </c>
      <c r="AN13" s="938">
        <f t="shared" si="1"/>
        <v>0</v>
      </c>
      <c r="AO13" s="938">
        <f t="shared" si="1"/>
        <v>0</v>
      </c>
      <c r="AP13" s="943">
        <f>IF(ISNUMBER(((Datos!L13/Datos!K13)*11)/factor_trimestre),((Datos!L13/Datos!K13)*11)/factor_trimestre," - ")</f>
        <v>5.1487309644670054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-0.49315068493150682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4.2486398258977154</v>
      </c>
      <c r="AQ18" s="943">
        <f>IF(ISNUMBER(((Datos!M18/Datos!L18)*11)/factor_trimestre),((Datos!M18/Datos!L18)*11)/factor_trimestre," - ")</f>
        <v>0.37341529004994239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3.896103896103896E-2</v>
      </c>
      <c r="AW18" s="945">
        <f>IF(ISNUMBER((Datos!Q18-Datos!R18)/(Datos!S18-Datos!Q18+Datos!R18)),(Datos!Q18-Datos!R18)/(Datos!S18-Datos!Q18+Datos!R18)," - ")</f>
        <v>-3.4706331045003813E-2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73</v>
      </c>
      <c r="G19" s="950">
        <f t="shared" si="4"/>
        <v>73</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0</v>
      </c>
      <c r="AE19" s="956">
        <f t="shared" si="5"/>
        <v>0</v>
      </c>
      <c r="AF19" s="957">
        <f t="shared" si="5"/>
        <v>61</v>
      </c>
      <c r="AG19" s="957">
        <f t="shared" si="5"/>
        <v>0</v>
      </c>
      <c r="AH19" s="957">
        <f t="shared" si="5"/>
        <v>0</v>
      </c>
      <c r="AI19" s="957">
        <f t="shared" si="5"/>
        <v>0</v>
      </c>
      <c r="AJ19" s="958">
        <f t="shared" si="5"/>
        <v>0</v>
      </c>
      <c r="AK19" s="958">
        <f t="shared" si="5"/>
        <v>0</v>
      </c>
      <c r="AL19" s="950">
        <f t="shared" si="5"/>
        <v>13</v>
      </c>
      <c r="AM19" s="950">
        <f t="shared" si="5"/>
        <v>16</v>
      </c>
      <c r="AN19" s="950">
        <f t="shared" si="5"/>
        <v>0</v>
      </c>
      <c r="AO19" s="950">
        <f t="shared" si="5"/>
        <v>0</v>
      </c>
      <c r="AP19" s="950">
        <f>IF(ISNUMBER(((Datos!L19/Datos!K19)*11)/factor_trimestre),((Datos!L19/Datos!K19)*11)/factor_trimestre," - ")</f>
        <v>4.7142857142857144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-0.49315068493150682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2.710413694721826E-2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42.146569650842686</v>
      </c>
      <c r="G21" s="736">
        <f>IF(ISNUMBER(STDEV(G8:G18)),STDEV(G8:G18),"-")</f>
        <v>42.146569650842686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0.50185558335109903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RaxPgJUKY9gXE9psU5l1n0wJW9CHSHc1fUSQu5hYoGwp/ukb1RwV8OISWtDL3ftr34xSvJSz1xO3zleVInMnQ==" saltValue="RClOgrzjIf7cUQkWN4eu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OURENSE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3UgSWfG9t4ne2WZyWZK6L8ldMJQRNdAIUOb1KQpGDSvaf/yXWlGQeNdMvDMXIMIzuDVySDDXaR5SSs1d00EOw==" saltValue="IY+vNNzbBvON5Bq32ZJ8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OURENSE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643</v>
      </c>
      <c r="E9" s="403">
        <f t="shared" ref="E9:E13" si="0">IF(ISNUMBER(D9/B9),D9/B9," - ")</f>
        <v>107.16666666666667</v>
      </c>
      <c r="F9" s="402">
        <f>IF(ISNUMBER(Datos!N9),Datos!N9," - ")</f>
        <v>646</v>
      </c>
      <c r="G9" s="403">
        <f t="shared" ref="G9:G13" si="1">IF(ISNUMBER(F9/B9),F9/B9," - ")</f>
        <v>107.66666666666667</v>
      </c>
      <c r="H9" s="402">
        <f>IF(ISNUMBER(Datos!O9),Datos!O9," - ")</f>
        <v>867</v>
      </c>
      <c r="I9" s="403">
        <f>IF(ISNUMBER(H9/B9),H9/B9," - ")</f>
        <v>144.5</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16</v>
      </c>
      <c r="G10" s="403">
        <f>IF(ISNUMBER(F10/B10),F10/B10," - ")</f>
        <v>16</v>
      </c>
      <c r="H10" s="402">
        <f>IF(ISNUMBER(Datos!O10),Datos!O10," - ")</f>
        <v>1</v>
      </c>
      <c r="I10" s="403">
        <f t="shared" ref="I10:I12" si="2">IF(ISNUMBER(H10/B10),H10/B10," - ")</f>
        <v>1</v>
      </c>
      <c r="BZ10" s="1185">
        <f>Datos!EZ10</f>
        <v>0</v>
      </c>
    </row>
    <row r="11" spans="1:78">
      <c r="A11" s="401" t="str">
        <f>Datos!A11</f>
        <v xml:space="preserve">Jdos. Familia                                   </v>
      </c>
      <c r="B11" s="426">
        <f>Datos!AO11</f>
        <v>1</v>
      </c>
      <c r="C11" s="409">
        <f>Datos!AQ11</f>
        <v>1</v>
      </c>
      <c r="D11" s="402">
        <f>IF(ISNUMBER(Datos!M11),Datos!M11," - ")</f>
        <v>129</v>
      </c>
      <c r="E11" s="403">
        <f t="shared" si="0"/>
        <v>129</v>
      </c>
      <c r="F11" s="402">
        <f>IF(ISNUMBER(Datos!N11),Datos!N11," - ")</f>
        <v>420</v>
      </c>
      <c r="G11" s="403">
        <f t="shared" si="1"/>
        <v>420</v>
      </c>
      <c r="H11" s="402">
        <f>IF(ISNUMBER(Datos!O11),Datos!O11," - ")</f>
        <v>128</v>
      </c>
      <c r="I11" s="403">
        <f t="shared" si="2"/>
        <v>128</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785</v>
      </c>
      <c r="E13" s="849">
        <f t="shared" si="0"/>
        <v>112.14285714285714</v>
      </c>
      <c r="F13" s="848">
        <f>SUBTOTAL(9,F9:F12)</f>
        <v>1082</v>
      </c>
      <c r="G13" s="849">
        <f t="shared" si="1"/>
        <v>154.57142857142858</v>
      </c>
      <c r="H13" s="848">
        <f>SUBTOTAL(9,H9:H12)</f>
        <v>996</v>
      </c>
      <c r="I13" s="849">
        <f>IF(ISNUMBER(H13/B13),H13/B13," - ")</f>
        <v>142.28571428571428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294</v>
      </c>
      <c r="E15" s="403">
        <f t="shared" ref="E15:E18" si="3">IF(ISNUMBER(D15/B15),D15/B15," - ")</f>
        <v>98</v>
      </c>
      <c r="F15" s="402">
        <f>IF(ISNUMBER(Datos!N15),Datos!N15," - ")</f>
        <v>742</v>
      </c>
      <c r="G15" s="403">
        <f t="shared" ref="G15:G18" si="4">IF(ISNUMBER(F15/B15),F15/B15," - ")</f>
        <v>247.33333333333334</v>
      </c>
      <c r="H15" s="402">
        <f>IF(ISNUMBER(Datos!O15),Datos!O15," - ")</f>
        <v>30</v>
      </c>
      <c r="I15" s="403">
        <f t="shared" ref="I15:I17" si="5">IF(ISNUMBER(H15/B15),H15/B15," - ")</f>
        <v>10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96</v>
      </c>
      <c r="G17" s="403">
        <f>IF(ISNUMBER(F17/B17),F17/B17," - ")</f>
        <v>96</v>
      </c>
      <c r="H17" s="402">
        <f>IF(ISNUMBER(Datos!O17),Datos!O17," - ")</f>
        <v>2</v>
      </c>
      <c r="I17" s="403">
        <f t="shared" si="5"/>
        <v>2</v>
      </c>
      <c r="BZ17" s="1185">
        <f>Datos!EZ17</f>
        <v>0</v>
      </c>
    </row>
    <row r="18" spans="1:78" ht="14.25" thickTop="1" thickBot="1">
      <c r="A18" s="847" t="str">
        <f>Datos!A18</f>
        <v>TOTAL</v>
      </c>
      <c r="B18" s="848">
        <f>Datos!AP18</f>
        <v>3</v>
      </c>
      <c r="C18" s="850">
        <f>Datos!AR18</f>
        <v>3</v>
      </c>
      <c r="D18" s="848">
        <f>SUBTOTAL(9,D15:D17)</f>
        <v>324</v>
      </c>
      <c r="E18" s="849">
        <f t="shared" si="3"/>
        <v>108</v>
      </c>
      <c r="F18" s="848">
        <f>SUBTOTAL(9,F15:F17)</f>
        <v>838</v>
      </c>
      <c r="G18" s="849">
        <f t="shared" si="4"/>
        <v>279.33333333333331</v>
      </c>
      <c r="H18" s="848">
        <f>SUBTOTAL(9,H15:H17)</f>
        <v>32</v>
      </c>
      <c r="I18" s="849">
        <f>IF(ISNUMBER(H18/B18),H18/B18," - ")</f>
        <v>10.666666666666666</v>
      </c>
      <c r="BZ18" s="1185"/>
    </row>
    <row r="19" spans="1:78" ht="14.25" thickTop="1" thickBot="1">
      <c r="A19" s="792" t="str">
        <f>Datos!A19</f>
        <v>TOTAL JURISDICCIONES</v>
      </c>
      <c r="B19" s="793">
        <f>Datos!AP19</f>
        <v>10</v>
      </c>
      <c r="C19" s="793">
        <f>Datos!AR19</f>
        <v>10</v>
      </c>
      <c r="D19" s="793">
        <f>SUBTOTAL(9,D8:D18)</f>
        <v>1109</v>
      </c>
      <c r="E19" s="794">
        <f>IF(ISNUMBER(D19/B19),D19/B19," - ")</f>
        <v>110.9</v>
      </c>
      <c r="F19" s="793">
        <f>SUBTOTAL(9,F8:F18)</f>
        <v>1920</v>
      </c>
      <c r="G19" s="794">
        <f>IF(ISNUMBER(F19/B19),F19/B19," - ")</f>
        <v>192</v>
      </c>
      <c r="H19" s="793">
        <f>SUBTOTAL(9,H8:H18)</f>
        <v>1028</v>
      </c>
      <c r="I19" s="794">
        <f>IF(ISNUMBER(H19/B19),H19/B19," - ")</f>
        <v>102.8</v>
      </c>
    </row>
    <row r="22" spans="1:78">
      <c r="A22" s="390" t="str">
        <f>Criterios!A4</f>
        <v>Fecha Informe: 17 mar. 2026</v>
      </c>
    </row>
    <row r="27" spans="1:78">
      <c r="A27" s="413"/>
    </row>
  </sheetData>
  <sheetProtection algorithmName="SHA-512" hashValue="zmhgoZ9/5NINnM7Y673fpaYJFpwVz52UY10yfJdqBQycw/qSCprTrOJhtNZJ/BbWqqiJbO2CmcWjN3Bp9KToUw==" saltValue="W/CfUzVswnPxZMtL5ZYL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OURENSE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559</v>
      </c>
      <c r="C9" s="433">
        <f>IF(ISNUMBER(Datos!Q9),Datos!Q9," - ")</f>
        <v>326</v>
      </c>
      <c r="D9" s="407">
        <f>IF(ISNUMBER(Datos!R9),Datos!R9," - ")</f>
        <v>8810</v>
      </c>
    </row>
    <row r="10" spans="1:4">
      <c r="A10" s="401" t="str">
        <f>Datos!A10</f>
        <v>Jdos. Violencia contra la mujer/Secc Viol. TI.</v>
      </c>
      <c r="B10" s="432">
        <f>IF(ISNUMBER(Datos!P10),Datos!P10," - ")</f>
        <v>2</v>
      </c>
      <c r="C10" s="433">
        <f>IF(ISNUMBER(Datos!Q10),Datos!Q10," - ")</f>
        <v>5</v>
      </c>
      <c r="D10" s="407">
        <f>IF(ISNUMBER(Datos!R10),Datos!R10," - ")</f>
        <v>64</v>
      </c>
    </row>
    <row r="11" spans="1:4">
      <c r="A11" s="401" t="str">
        <f>Datos!A11</f>
        <v xml:space="preserve">Jdos. Familia                                   </v>
      </c>
      <c r="B11" s="432">
        <f>IF(ISNUMBER(Datos!P11),Datos!P11," - ")</f>
        <v>29</v>
      </c>
      <c r="C11" s="433">
        <f>IF(ISNUMBER(Datos!Q11),Datos!Q11," - ")</f>
        <v>18</v>
      </c>
      <c r="D11" s="407">
        <f>IF(ISNUMBER(Datos!R11),Datos!R11," - ")</f>
        <v>326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590</v>
      </c>
      <c r="C13" s="852">
        <f>SUBTOTAL(9,C9:C12)</f>
        <v>349</v>
      </c>
      <c r="D13" s="850">
        <f>SUBTOTAL(9,D9:D12)</f>
        <v>9200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72</v>
      </c>
      <c r="C15" s="433">
        <f>IF(ISNUMBER(Datos!Q15),Datos!Q15," - ")</f>
        <v>67</v>
      </c>
      <c r="D15" s="407">
        <f>IF(ISNUMBER(Datos!R15),Datos!R15," - ")</f>
        <v>156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2</v>
      </c>
      <c r="D17" s="407">
        <f>IF(ISNUMBER(Datos!R17),Datos!R17," - ")</f>
        <v>4</v>
      </c>
    </row>
    <row r="18" spans="1:4" ht="14.25" thickTop="1" thickBot="1">
      <c r="A18" s="847" t="str">
        <f>Datos!A18</f>
        <v>TOTAL</v>
      </c>
      <c r="B18" s="848">
        <f>SUBTOTAL(9,B15:B17)</f>
        <v>75</v>
      </c>
      <c r="C18" s="852">
        <f>SUBTOTAL(9,C15:C17)</f>
        <v>69</v>
      </c>
      <c r="D18" s="850">
        <f>SUBTOTAL(9,D15:D17)</f>
        <v>160</v>
      </c>
    </row>
    <row r="19" spans="1:4" ht="16.5" customHeight="1" thickTop="1" thickBot="1">
      <c r="A19" s="792" t="str">
        <f>Datos!A19</f>
        <v>TOTAL JURISDICCIONES</v>
      </c>
      <c r="B19" s="797">
        <f>SUBTOTAL(9,B8:B18)</f>
        <v>665</v>
      </c>
      <c r="C19" s="798">
        <f>SUBTOTAL(9,C8:C18)</f>
        <v>418</v>
      </c>
      <c r="D19" s="799">
        <f>SUBTOTAL(9,D8:D18)</f>
        <v>9360</v>
      </c>
    </row>
    <row r="20" spans="1:4" ht="7.5" customHeight="1"/>
    <row r="21" spans="1:4" ht="6" customHeight="1"/>
    <row r="22" spans="1:4">
      <c r="A22" s="390" t="str">
        <f>Criterios!A4</f>
        <v>Fecha Informe: 17 mar. 2026</v>
      </c>
    </row>
    <row r="27" spans="1:4">
      <c r="A27" s="413"/>
    </row>
  </sheetData>
  <sheetProtection algorithmName="SHA-512" hashValue="nCj5Z8ennTUUW52TAnZJGzzvC5rt5596oPbQCUFwg8FhdFAg0s7rEHjxHjIoSFo6sq9phzgrtlEb+ynOhrQFaw==" saltValue="KOmVar10cHTPO6QPix9o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OURENSE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-0.22465551181102361</v>
      </c>
      <c r="C9" s="455">
        <f>IF(ISNUMBER(
   IF(J_V="SI",(Datos!J9-Datos!T9)/Datos!T9,(Datos!J9+Datos!Z9-(Datos!T9+Datos!AH9))/(Datos!T9+Datos!AH9))
     ),IF(J_V="SI",(Datos!J9-Datos!T9)/Datos!T9,(Datos!J9+Datos!Z9-(Datos!T9+Datos!AH9))/(Datos!T9+Datos!AH9))," - ")</f>
        <v>-0.3502479969477299</v>
      </c>
      <c r="D9" s="455">
        <f>IF(ISNUMBER(
   IF(J_V="SI",(Datos!K9-Datos!U9)/Datos!U9,(Datos!K9+Datos!AA9-(Datos!U9+Datos!AI9))/(Datos!U9+Datos!AI9))
     ),IF(J_V="SI",(Datos!K9-Datos!U9)/Datos!U9,(Datos!K9+Datos!AA9-(Datos!U9+Datos!AI9))/(Datos!U9+Datos!AI9))," - ")</f>
        <v>-0.27493261455525608</v>
      </c>
      <c r="E9" s="455">
        <f>IF(ISNUMBER(
   IF(J_V="SI",(Datos!L9-Datos!V9)/Datos!V9,(Datos!L9+Datos!AB9-(Datos!V9+Datos!AJ9))/(Datos!V9+Datos!AJ9))
     ),IF(J_V="SI",(Datos!L9-Datos!V9)/Datos!V9,(Datos!L9+Datos!AB9-(Datos!V9+Datos!AJ9))/(Datos!V9+Datos!AJ9))," - ")</f>
        <v>-0.27274951076320941</v>
      </c>
      <c r="F9" s="455">
        <f>IF(ISNUMBER((Datos!M9-Datos!W9)/Datos!W9),(Datos!M9-Datos!W9)/Datos!W9," - ")</f>
        <v>-0.24263839811542992</v>
      </c>
      <c r="G9" s="456">
        <f>IF(ISNUMBER((Datos!N9-Datos!X9)/Datos!X9),(Datos!N9-Datos!X9)/Datos!X9," - ")</f>
        <v>-0.41058394160583944</v>
      </c>
      <c r="H9" s="454">
        <f>IF(ISNUMBER(((NºAsuntos!G9/NºAsuntos!E9)-Datos!BD9)/Datos!BD9),((NºAsuntos!G9/NºAsuntos!E9)-Datos!BD9)/Datos!BD9," - ")</f>
        <v>0.11591404418712507</v>
      </c>
      <c r="I9" s="455">
        <f>IF(ISNUMBER(((NºAsuntos!I9/NºAsuntos!G9)-Datos!BE9)/Datos!BE9),((NºAsuntos!I9/NºAsuntos!G9)-Datos!BE9)/Datos!BE9," - ")</f>
        <v>3.0108977949789223E-3</v>
      </c>
      <c r="J9" s="460">
        <f>IF(ISNUMBER((('Resol  Asuntos'!D9/NºAsuntos!G9)-Datos!BF9)/Datos!BF9),(('Resol  Asuntos'!D9/NºAsuntos!G9)-Datos!BF9)/Datos!BF9," - ")</f>
        <v>-0.19086302336309116</v>
      </c>
      <c r="K9" s="461">
        <f>IF(ISNUMBER((((NºAsuntos!C9+NºAsuntos!E9)/NºAsuntos!G9)-Datos!BG9)/Datos!BG9),(((NºAsuntos!C9+NºAsuntos!E9)/NºAsuntos!G9)-Datos!BG9)/Datos!BG9," - ")</f>
        <v>1.4285992331497263E-3</v>
      </c>
    </row>
    <row r="10" spans="1:11" ht="21">
      <c r="A10" s="401" t="str">
        <f>Datos!A10</f>
        <v>Jdos. Violencia contra la mujer/Secc Viol. TI.</v>
      </c>
      <c r="B10" s="454">
        <f>IF(ISNUMBER((Datos!I10-Datos!S10)/Datos!S10),(Datos!I10-Datos!S10)/Datos!S10," - ")</f>
        <v>-0.16091954022988506</v>
      </c>
      <c r="C10" s="455">
        <f>IF(ISNUMBER((Datos!J10-Datos!T10)/Datos!T10),(Datos!J10-Datos!T10)/Datos!T10," - ")</f>
        <v>2</v>
      </c>
      <c r="D10" s="455">
        <f>IF(ISNUMBER((Datos!K10-Datos!U10)/Datos!U10),(Datos!K10-Datos!U10)/Datos!U10," - ")</f>
        <v>5.8823529411764705E-2</v>
      </c>
      <c r="E10" s="455">
        <f>IF(ISNUMBER((Datos!L10-Datos!V10)/Datos!V10),(Datos!L10-Datos!V10)/Datos!V10," - ")</f>
        <v>0</v>
      </c>
      <c r="F10" s="455">
        <f>IF(ISNUMBER((Datos!M10-Datos!W10)/Datos!W10),(Datos!M10-Datos!W10)/Datos!W10," - ")</f>
        <v>0.3</v>
      </c>
      <c r="G10" s="456">
        <f>IF(ISNUMBER((Datos!N10-Datos!X10)/Datos!X10),(Datos!N10-Datos!X10)/Datos!X10," - ")</f>
        <v>-0.23809523809523808</v>
      </c>
      <c r="H10" s="454">
        <f>IF(ISNUMBER(((NºAsuntos!G10/NºAsuntos!E10)-Datos!BD10)/Datos!BD10),((NºAsuntos!G10/NºAsuntos!E10)-Datos!BD10)/Datos!BD10," - ")</f>
        <v>-0.6470588235294118</v>
      </c>
      <c r="I10" s="455">
        <f>IF(ISNUMBER(((NºAsuntos!I10/NºAsuntos!G10)-Datos!BE10)/Datos!BE10),((NºAsuntos!I10/NºAsuntos!G10)-Datos!BE10)/Datos!BE10," - ")</f>
        <v>-5.5555555555555601E-2</v>
      </c>
      <c r="J10" s="460">
        <f>IF(ISNUMBER((('Resol  Asuntos'!D10/NºAsuntos!G10)-Datos!BF10)/Datos!BF10),(('Resol  Asuntos'!D10/NºAsuntos!G10)-Datos!BF10)/Datos!BF10," - ")</f>
        <v>0.22777777777777772</v>
      </c>
      <c r="K10" s="461">
        <f>IF(ISNUMBER((((NºAsuntos!C10+NºAsuntos!E10)/NºAsuntos!G10)-Datos!BG10)/Datos!BG10),(((NºAsuntos!C10+NºAsuntos!E10)/NºAsuntos!G10)-Datos!BG10)/Datos!BG10," - ")</f>
        <v>-3.5672514619882918E-2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-0.14551422319474835</v>
      </c>
      <c r="C11" s="455">
        <f>IF(ISNUMBER(
   IF(J_V="SI",(Datos!J11-Datos!T11)/Datos!T11,(Datos!J11+Datos!Z11-(Datos!T11+Datos!AH11))/(Datos!T11+Datos!AH11))
     ),IF(J_V="SI",(Datos!J11-Datos!T11)/Datos!T11,(Datos!J11+Datos!Z11-(Datos!T11+Datos!AH11))/(Datos!T11+Datos!AH11))," - ")</f>
        <v>0.22700587084148727</v>
      </c>
      <c r="D11" s="455">
        <f>IF(ISNUMBER(
   IF(J_V="SI",(Datos!K11-Datos!U11)/Datos!U11,(Datos!K11+Datos!AA11-(Datos!U11+Datos!AI11))/(Datos!U11+Datos!AI11))
     ),IF(J_V="SI",(Datos!K11-Datos!U11)/Datos!U11,(Datos!K11+Datos!AA11-(Datos!U11+Datos!AI11))/(Datos!U11+Datos!AI11))," - ")</f>
        <v>4.4444444444444446E-2</v>
      </c>
      <c r="E11" s="455">
        <f>IF(ISNUMBER(
   IF(J_V="SI",(Datos!L11-Datos!V11)/Datos!V11,(Datos!L11+Datos!AB11-(Datos!V11+Datos!AJ11))/(Datos!V11+Datos!AJ11))
     ),IF(J_V="SI",(Datos!L11-Datos!V11)/Datos!V11,(Datos!L11+Datos!AB11-(Datos!V11+Datos!AJ11))/(Datos!V11+Datos!AJ11))," - ")</f>
        <v>-5.6603773584905662E-2</v>
      </c>
      <c r="F11" s="455">
        <f>IF(ISNUMBER((Datos!M11-Datos!W11)/Datos!W11),(Datos!M11-Datos!W11)/Datos!W11," - ")</f>
        <v>-0.14000000000000001</v>
      </c>
      <c r="G11" s="456">
        <f>IF(ISNUMBER((Datos!N11-Datos!X11)/Datos!X11),(Datos!N11-Datos!X11)/Datos!X11," - ")</f>
        <v>-2.3752969121140144E-3</v>
      </c>
      <c r="H11" s="454">
        <f>IF(ISNUMBER(((NºAsuntos!G11/NºAsuntos!E11)-Datos!BD11)/Datos!BD11),((NºAsuntos!G11/NºAsuntos!E11)-Datos!BD11)/Datos!BD11," - ")</f>
        <v>-0.14878610668084349</v>
      </c>
      <c r="I11" s="455">
        <f>IF(ISNUMBER(((NºAsuntos!I11/NºAsuntos!G11)-Datos!BE11)/Datos!BE11),((NºAsuntos!I11/NºAsuntos!G11)-Datos!BE11)/Datos!BE11," - ")</f>
        <v>-9.6748293857888315E-2</v>
      </c>
      <c r="J11" s="460">
        <f>IF(ISNUMBER((('Resol  Asuntos'!D11/NºAsuntos!G11)-Datos!BF11)/Datos!BF11),(('Resol  Asuntos'!D11/NºAsuntos!G11)-Datos!BF11)/Datos!BF11," - ")</f>
        <v>-0.7066255622378329</v>
      </c>
      <c r="K11" s="461">
        <f>IF(ISNUMBER((((NºAsuntos!C11+NºAsuntos!E11)/NºAsuntos!G11)-Datos!BG11)/Datos!BG11),(((NºAsuntos!C11+NºAsuntos!E11)/NºAsuntos!G11)-Datos!BG11)/Datos!BG11," - ")</f>
        <v>-5.3975363941769362E-2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-0.20927936821322804</v>
      </c>
      <c r="C13" s="854">
        <f>IF(ISNUMBER(
   IF(J_V="SI",(Datos!J13-Datos!T13)/Datos!T13,(Datos!J13+Datos!Z13-(Datos!T13+Datos!AH13))/(Datos!T13+Datos!AH13))
     ),IF(J_V="SI",(Datos!J13-Datos!T13)/Datos!T13,(Datos!J13+Datos!Z13-(Datos!T13+Datos!AH13))/(Datos!T13+Datos!AH13))," - ")</f>
        <v>-0.25031847133757962</v>
      </c>
      <c r="D13" s="854">
        <f>IF(ISNUMBER(
   IF(J_V="SI",(Datos!K13-Datos!U13)/Datos!U13,(Datos!K13+Datos!AA13-(Datos!U13+Datos!AI13))/(Datos!U13+Datos!AI13))
     ),IF(J_V="SI",(Datos!K13-Datos!U13)/Datos!U13,(Datos!K13+Datos!AA13-(Datos!U13+Datos!AI13))/(Datos!U13+Datos!AI13))," - ")</f>
        <v>-0.20975160993560257</v>
      </c>
      <c r="E13" s="854">
        <f>IF(ISNUMBER(
   IF(J_V="SI",(Datos!L13-Datos!V13)/Datos!V13,(Datos!L13+Datos!AB13-(Datos!V13+Datos!AJ13))/(Datos!V13+Datos!AJ13))
     ),IF(J_V="SI",(Datos!L13-Datos!V13)/Datos!V13,(Datos!L13+Datos!AB13-(Datos!V13+Datos!AJ13))/(Datos!V13+Datos!AJ13))," - ")</f>
        <v>-0.23462783171521034</v>
      </c>
      <c r="F13" s="855">
        <f>IF(ISNUMBER((Datos!M13-Datos!W13)/Datos!W13),(Datos!M13-Datos!W13)/Datos!W13," - ")</f>
        <v>-0.222001982160555</v>
      </c>
      <c r="G13" s="856">
        <f>IF(ISNUMBER((Datos!N13-Datos!X13)/Datos!X13),(Datos!N13-Datos!X13)/Datos!X13," - ")</f>
        <v>-0.29648894668400522</v>
      </c>
      <c r="H13" s="856">
        <f>IF(ISNUMBER(((NºAsuntos!G13/NºAsuntos!E13)-Datos!BD13)/Datos!BD13),((NºAsuntos!G13/NºAsuntos!E13)-Datos!BD13)/Datos!BD13," - ")</f>
        <v>5.4112126084200372E-2</v>
      </c>
      <c r="I13" s="856">
        <f>IF(ISNUMBER(((NºAsuntos!I13/NºAsuntos!G13)-Datos!BE13)/Datos!BE13),((NºAsuntos!I13/NºAsuntos!G13)-Datos!BE13)/Datos!BE13," - ")</f>
        <v>-3.147899077349673E-2</v>
      </c>
      <c r="J13" s="856">
        <f>IF(ISNUMBER((('Resol  Asuntos'!D13/NºAsuntos!G13)-Datos!BF13)/Datos!BF13),(('Resol  Asuntos'!D13/NºAsuntos!G13)-Datos!BF13)/Datos!BF13," - ")</f>
        <v>-0.34947049347675108</v>
      </c>
      <c r="K13" s="856">
        <f>IF(ISNUMBER((((NºAsuntos!C13+NºAsuntos!E13)/NºAsuntos!G13)-Datos!BG13)/Datos!BG13),(((NºAsuntos!C13+NºAsuntos!E13)/NºAsuntos!G13)-Datos!BG13)/Datos!BG13," - ")</f>
        <v>-1.9276414407013668E-2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-4.2695688572624527E-2</v>
      </c>
      <c r="C15" s="455">
        <f>IF(ISNUMBER(
   IF(D_I="SI",(Datos!J15-Datos!T15)/Datos!T15,(Datos!J15+Datos!AD15-(Datos!T15+Datos!AL15))/(Datos!T15+Datos!AL15))
     ),IF(D_I="SI",(Datos!J15-Datos!T15)/Datos!T15,(Datos!J15+Datos!AD15-(Datos!T15+Datos!AL15))/(Datos!T15+Datos!AL15))," - ")</f>
        <v>0.17391304347826086</v>
      </c>
      <c r="D15" s="455">
        <f>IF(ISNUMBER(
   IF(D_I="SI",(Datos!K15-Datos!U15)/Datos!U15,(Datos!K15+Datos!AE15-(Datos!U15+Datos!AM15))/(Datos!U15+Datos!AM15))
     ),IF(D_I="SI",(Datos!K15-Datos!U15)/Datos!U15,(Datos!K15+Datos!AE15-(Datos!U15+Datos!AM15))/(Datos!U15+Datos!AM15))," - ")</f>
        <v>4.8721071863580996E-3</v>
      </c>
      <c r="E15" s="455">
        <f>IF(ISNUMBER(
   IF(D_I="SI",(Datos!L15-Datos!V15)/Datos!V15,(Datos!L15+Datos!AF15-(Datos!V15+Datos!AN15))/(Datos!V15+Datos!AN15))
     ),IF(D_I="SI",(Datos!L15-Datos!V15)/Datos!V15,(Datos!L15+Datos!AF15-(Datos!V15+Datos!AN15))/(Datos!V15+Datos!AN15))," - ")</f>
        <v>6.2391681109185443E-2</v>
      </c>
      <c r="F15" s="455">
        <f>IF(ISNUMBER((Datos!M15-Datos!W15)/Datos!W15),(Datos!M15-Datos!W15)/Datos!W15," - ")</f>
        <v>0.18072289156626506</v>
      </c>
      <c r="G15" s="456">
        <f>IF(ISNUMBER((Datos!N15-Datos!X15)/Datos!X15),(Datos!N15-Datos!X15)/Datos!X15," - ")</f>
        <v>-4.3814432989690719E-2</v>
      </c>
      <c r="H15" s="454">
        <f>IF(ISNUMBER(((NºAsuntos!G15/NºAsuntos!E15)-Datos!BD15)/Datos!BD15),((NºAsuntos!G15/NºAsuntos!E15)-Datos!BD15)/Datos!BD15," - ")</f>
        <v>-0.14399783461902821</v>
      </c>
      <c r="I15" s="455">
        <f>IF(ISNUMBER(((NºAsuntos!I15/NºAsuntos!G15)-Datos!BE15)/Datos!BE15),((NºAsuntos!I15/NºAsuntos!G15)-Datos!BE15)/Datos!BE15," - ")</f>
        <v>5.7240691140171156E-2</v>
      </c>
      <c r="J15" s="460">
        <f>IF(ISNUMBER((('Resol  Asuntos'!D15/NºAsuntos!G15)-Datos!BF15)/Datos!BF15),(('Resol  Asuntos'!D15/NºAsuntos!G15)-Datos!BF15)/Datos!BF15," - ")</f>
        <v>0.17499817451624688</v>
      </c>
      <c r="K15" s="461">
        <f>IF(ISNUMBER((((NºAsuntos!C15+NºAsuntos!E15)/NºAsuntos!G15)-Datos!BG15)/Datos!BG15),(((NºAsuntos!C15+NºAsuntos!E15)/NºAsuntos!G15)-Datos!BG15)/Datos!BG15," - ")</f>
        <v>3.6414516291659739E-2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3.5211267605633804E-2</v>
      </c>
      <c r="C17" s="455">
        <f>IF(ISNUMBER(
   IF(D_I="SI",(Datos!J17-Datos!T17)/Datos!T17,(Datos!J17+Datos!AD17-(Datos!T17+Datos!AL17))/(Datos!T17+Datos!AL17))
     ),IF(D_I="SI",(Datos!J17-Datos!T17)/Datos!T17,(Datos!J17+Datos!AD17-(Datos!T17+Datos!AL17))/(Datos!T17+Datos!AL17))," - ")</f>
        <v>0.15286624203821655</v>
      </c>
      <c r="D17" s="455">
        <f>IF(ISNUMBER(
   IF(D_I="SI",(Datos!K17-Datos!U17)/Datos!U17,(Datos!K17+Datos!AE17-(Datos!U17+Datos!AM17))/(Datos!U17+Datos!AM17))
     ),IF(D_I="SI",(Datos!K17-Datos!U17)/Datos!U17,(Datos!K17+Datos!AE17-(Datos!U17+Datos!AM17))/(Datos!U17+Datos!AM17))," - ")</f>
        <v>2.7322404371584699E-2</v>
      </c>
      <c r="E17" s="455">
        <f>IF(ISNUMBER(
   IF(D_I="SI",(Datos!L17-Datos!V17)/Datos!V17,(Datos!L17+Datos!AF17-(Datos!V17+Datos!AN17))/(Datos!V17+Datos!AN17))
     ),IF(D_I="SI",(Datos!L17-Datos!V17)/Datos!V17,(Datos!L17+Datos!AF17-(Datos!V17+Datos!AN17))/(Datos!V17+Datos!AN17))," - ")</f>
        <v>0.30172413793103448</v>
      </c>
      <c r="F17" s="455">
        <f>IF(ISNUMBER((Datos!M17-Datos!W17)/Datos!W17),(Datos!M17-Datos!W17)/Datos!W17," - ")</f>
        <v>1.3076923076923077</v>
      </c>
      <c r="G17" s="456">
        <f>IF(ISNUMBER((Datos!N17-Datos!X17)/Datos!X17),(Datos!N17-Datos!X17)/Datos!X17," - ")</f>
        <v>0.14285714285714285</v>
      </c>
      <c r="H17" s="454">
        <f>IF(ISNUMBER(((NºAsuntos!G17/NºAsuntos!E17)-Datos!BD17)/Datos!BD17),((NºAsuntos!G17/NºAsuntos!E17)-Datos!BD17)/Datos!BD17," - ")</f>
        <v>-0.10889714095945412</v>
      </c>
      <c r="I17" s="455">
        <f>IF(ISNUMBER(((NºAsuntos!I17/NºAsuntos!G17)-Datos!BE17)/Datos!BE17),((NºAsuntos!I17/NºAsuntos!G17)-Datos!BE17)/Datos!BE17," - ")</f>
        <v>0.26710381511371967</v>
      </c>
      <c r="J17" s="460">
        <f>IF(ISNUMBER((('Resol  Asuntos'!D17/NºAsuntos!G17)-Datos!BF17)/Datos!BF17),(('Resol  Asuntos'!D17/NºAsuntos!G17)-Datos!BF17)/Datos!BF17," - ")</f>
        <v>1.2463175122749592</v>
      </c>
      <c r="K17" s="461">
        <f>IF(ISNUMBER((((NºAsuntos!C17+NºAsuntos!E17)/NºAsuntos!G17)-Datos!BG17)/Datos!BG17),(((NºAsuntos!C17+NºAsuntos!E17)/NºAsuntos!G17)-Datos!BG17)/Datos!BG17," - ")</f>
        <v>6.7814701487226944E-2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-3.832477281706835E-2</v>
      </c>
      <c r="C18" s="854">
        <f>IF(ISNUMBER(
   IF(Criterios!B14="SI",(Datos!J18-Datos!T18)/Datos!T18,(Datos!J18+Datos!AD18-(Datos!T18+Datos!AL18))/(Datos!T18+Datos!AL18))
     ),IF(Criterios!B14="SI",(Datos!J18-Datos!T18)/Datos!T18,(Datos!J18+Datos!AD18-(Datos!T18+Datos!AL18))/(Datos!T18+Datos!AL18))," - ")</f>
        <v>0.17194029850746267</v>
      </c>
      <c r="D18" s="854">
        <f>IF(ISNUMBER(
   IF(Criterios!B14="SI",(Datos!K18-Datos!U18)/Datos!U18,(Datos!K18+Datos!AE18-(Datos!U18+Datos!AM18))/(Datos!U18+Datos!AM18))
     ),IF(Criterios!B14="SI",(Datos!K18-Datos!U18)/Datos!U18,(Datos!K18+Datos!AE18-(Datos!U18+Datos!AM18))/(Datos!U18+Datos!AM18))," - ")</f>
        <v>7.1232876712328764E-3</v>
      </c>
      <c r="E18" s="854">
        <f>IF(ISNUMBER(
   IF(Criterios!B14="SI",(Datos!L18-Datos!V18)/Datos!V18,(Datos!L18+Datos!AF18-(Datos!V18+Datos!AN18))/(Datos!V18+Datos!AN18))
     ),IF(Criterios!B14="SI",(Datos!L18-Datos!V18)/Datos!V18,(Datos!L18+Datos!AF18-(Datos!V18+Datos!AN18))/(Datos!V18+Datos!AN18))," - ")</f>
        <v>7.384488448844885E-2</v>
      </c>
      <c r="F18" s="855">
        <f>IF(ISNUMBER((Datos!M18-Datos!W18)/Datos!W18),(Datos!M18-Datos!W18)/Datos!W18," - ")</f>
        <v>0.23664122137404581</v>
      </c>
      <c r="G18" s="856">
        <f>IF(ISNUMBER((Datos!N18-Datos!X18)/Datos!X18),(Datos!N18-Datos!X18)/Datos!X18," - ")</f>
        <v>-2.5581395348837209E-2</v>
      </c>
      <c r="H18" s="856">
        <f>IF(ISNUMBER(((NºAsuntos!G18/NºAsuntos!E18)-Datos!BD18)/Datos!BD18),((NºAsuntos!G18/NºAsuntos!E18)-Datos!BD18)/Datos!BD18," - ")</f>
        <v>-0.14063601281237137</v>
      </c>
      <c r="I18" s="856">
        <f>IF(ISNUMBER(((NºAsuntos!I18/NºAsuntos!G18)-Datos!BE18)/Datos!BE18),((NºAsuntos!I18/NºAsuntos!G18)-Datos!BE18)/Datos!BE18," - ")</f>
        <v>6.6249681279335781E-2</v>
      </c>
      <c r="J18" s="856">
        <f>IF(ISNUMBER((('Resol  Asuntos'!D18/NºAsuntos!G18)-Datos!BF18)/Datos!BF18),(('Resol  Asuntos'!D18/NºAsuntos!G18)-Datos!BF18)/Datos!BF18," - ")</f>
        <v>0.22789457508576383</v>
      </c>
      <c r="K18" s="856">
        <f>IF(ISNUMBER((((NºAsuntos!C18+NºAsuntos!E18)/NºAsuntos!G18)-Datos!BG18)/Datos!BG18),(((NºAsuntos!C18+NºAsuntos!E18)/NºAsuntos!G18)-Datos!BG18)/Datos!BG18," - ")</f>
        <v>3.8017221886760044E-2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-0.15231700895208003</v>
      </c>
      <c r="C19" s="801">
        <f>IF(ISNUMBER(
   IF(J_V="SI",(Datos!J19-Datos!T19)/Datos!T19,(Datos!J19+Datos!Z19-(Datos!T19+Datos!AH19))/(Datos!T19+Datos!AH19))
     ),IF(J_V="SI",(Datos!J19-Datos!T19)/Datos!T19,(Datos!J19+Datos!Z19-(Datos!T19+Datos!AH19))/(Datos!T19+Datos!AH19))," - ")</f>
        <v>-0.10342679127725857</v>
      </c>
      <c r="D19" s="801">
        <f>IF(ISNUMBER(
   IF(J_V="SI",(Datos!K19-Datos!U19)/Datos!U19,(Datos!K19+Datos!AA19-(Datos!U19+Datos!AI19))/(Datos!U19+Datos!AI19))
     ),IF(J_V="SI",(Datos!K19-Datos!U19)/Datos!U19,(Datos!K19+Datos!AA19-(Datos!U19+Datos!AI19))/(Datos!U19+Datos!AI19))," - ")</f>
        <v>-0.13193079040503342</v>
      </c>
      <c r="E19" s="801">
        <f>IF(ISNUMBER(
   IF(J_V="SI",(Datos!L19-Datos!V19)/Datos!V19,(Datos!L19+Datos!AB19-(Datos!V19+Datos!AJ19))/(Datos!V19+Datos!AJ19))
     ),IF(J_V="SI",(Datos!L19-Datos!V19)/Datos!V19,(Datos!L19+Datos!AB19-(Datos!V19+Datos!AJ19))/(Datos!V19+Datos!AJ19))," - ")</f>
        <v>-0.13314332247557004</v>
      </c>
      <c r="F19" s="802">
        <f>IF(ISNUMBER((Datos!M19-Datos!W19)/Datos!W19),(Datos!M19-Datos!W19)/Datos!W19," - ")</f>
        <v>-0.12745869394177814</v>
      </c>
      <c r="G19" s="803">
        <f>IF(ISNUMBER((Datos!N19-Datos!X19)/Datos!X19),(Datos!N19-Datos!X19)/Datos!X19," - ")</f>
        <v>-0.19933277731442869</v>
      </c>
      <c r="H19" s="804">
        <f>IF(ISNUMBER((Tasas!B19-Datos!BD19)/Datos!BD19),(Tasas!B19-Datos!BD19)/Datos!BD19," - ")</f>
        <v>-3.1792160250228352E-2</v>
      </c>
      <c r="I19" s="805">
        <f>IF(ISNUMBER((Tasas!C19-Datos!BE19)/Datos!BE19),(Tasas!C19-Datos!BE19)/Datos!BE19," - ")</f>
        <v>-1.3968149741221819E-3</v>
      </c>
      <c r="J19" s="806">
        <f>IF(ISNUMBER((Tasas!D19-Datos!BF19)/Datos!BF19),(Tasas!D19-Datos!BF19)/Datos!BF19," - ")</f>
        <v>-0.28588714093361528</v>
      </c>
      <c r="K19" s="806">
        <f>IF(ISNUMBER((Tasas!E19-Datos!BG19)/Datos!BG19),(Tasas!E19-Datos!BG19)/Datos!BG19," - ")</f>
        <v>-1.6342679242001854E-3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eowNhDH3gqJRtrQtKe0NvW7N19UGf/ZsP0ct6pNJbNhRZDG12fqyXKSHAl1zMndqMhgOgT4grxZfn2Wnw4cQ==" saltValue="tLwI5LuNgD2TbFJlEa0u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OURENSE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1.1056958308866707</v>
      </c>
      <c r="C9" s="442">
        <f>IF(ISNUMBER(NºAsuntos!I9/NºAsuntos!G9),NºAsuntos!I9/NºAsuntos!G9," - ")</f>
        <v>1.5788635156664896</v>
      </c>
      <c r="D9" s="443">
        <f>IF(ISNUMBER('Resol  Asuntos'!D9/NºAsuntos!G9),'Resol  Asuntos'!D9/NºAsuntos!G9," - ")</f>
        <v>0.34147636749867233</v>
      </c>
      <c r="E9" s="444">
        <f>IF(ISNUMBER((NºAsuntos!C9+NºAsuntos!E9)/NºAsuntos!G9),(NºAsuntos!C9+NºAsuntos!E9)/NºAsuntos!G9," - ")</f>
        <v>2.5778013807753584</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1.6944444444444444</v>
      </c>
      <c r="D10" s="443">
        <f>IF(ISNUMBER('Resol  Asuntos'!D10/NºAsuntos!G10),'Resol  Asuntos'!D10/NºAsuntos!G10," - ")</f>
        <v>0.3611111111111111</v>
      </c>
      <c r="E10" s="444">
        <f>IF(ISNUMBER((NºAsuntos!C10+NºAsuntos!E10)/NºAsuntos!G10),(NºAsuntos!C10+NºAsuntos!E10)/NºAsuntos!G10," - ")</f>
        <v>2.6944444444444446</v>
      </c>
      <c r="G10" s="462"/>
    </row>
    <row r="11" spans="1:7">
      <c r="A11" s="401" t="str">
        <f>Datos!A11</f>
        <v xml:space="preserve">Jdos. Familia                                   </v>
      </c>
      <c r="B11" s="441">
        <f>IF(ISNUMBER(NºAsuntos!G11/NºAsuntos!E11),NºAsuntos!G11/NºAsuntos!E11," - ")</f>
        <v>1.0494417862838916</v>
      </c>
      <c r="C11" s="442">
        <f>IF(ISNUMBER(NºAsuntos!I11/NºAsuntos!G11),NºAsuntos!I11/NºAsuntos!G11," - ")</f>
        <v>1.1398176291793314</v>
      </c>
      <c r="D11" s="443">
        <f>IF(ISNUMBER('Resol  Asuntos'!D11/NºAsuntos!G11),'Resol  Asuntos'!D11/NºAsuntos!G11," - ")</f>
        <v>0.196048632218845</v>
      </c>
      <c r="E11" s="444">
        <f>IF(ISNUMBER((NºAsuntos!C11+NºAsuntos!E11)/NºAsuntos!G11),(NºAsuntos!C11+NºAsuntos!E11)/NºAsuntos!G11," - ")</f>
        <v>2.1398176291793312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1.094732370433305</v>
      </c>
      <c r="C13" s="858">
        <f>IF(ISNUMBER(NºAsuntos!I13/NºAsuntos!G13),NºAsuntos!I13/NºAsuntos!G13," - ")</f>
        <v>1.4683740783857198</v>
      </c>
      <c r="D13" s="859">
        <f>IF(ISNUMBER('Resol  Asuntos'!D13/NºAsuntos!G13),'Resol  Asuntos'!D13/NºAsuntos!G13," - ")</f>
        <v>0.30461777260380285</v>
      </c>
      <c r="E13" s="860">
        <f>IF(ISNUMBER((NºAsuntos!C13+NºAsuntos!E13)/NºAsuntos!G13),(NºAsuntos!C13+NºAsuntos!E13)/NºAsuntos!G13," - ")</f>
        <v>2.4675979821497864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0.92592592592592593</v>
      </c>
      <c r="C15" s="442">
        <f>IF(ISNUMBER(NºAsuntos!I15/NºAsuntos!G15),NºAsuntos!I15/NºAsuntos!G15," - ")</f>
        <v>1.4860606060606061</v>
      </c>
      <c r="D15" s="443">
        <f>IF(ISNUMBER('Resol  Asuntos'!D15/NºAsuntos!G15),'Resol  Asuntos'!D15/NºAsuntos!G15," - ")</f>
        <v>0.17818181818181819</v>
      </c>
      <c r="E15" s="444">
        <f>IF(ISNUMBER((NºAsuntos!C15+NºAsuntos!E15)/NºAsuntos!G15),(NºAsuntos!C15+NºAsuntos!E15)/NºAsuntos!G15," - ")</f>
        <v>2.4660606060606058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1.0386740331491713</v>
      </c>
      <c r="C17" s="442">
        <f>IF(ISNUMBER(NºAsuntos!I17/NºAsuntos!G17),NºAsuntos!I17/NºAsuntos!G17," - ")</f>
        <v>0.80319148936170215</v>
      </c>
      <c r="D17" s="443">
        <f>IF(ISNUMBER('Resol  Asuntos'!D17/NºAsuntos!G17),'Resol  Asuntos'!D17/NºAsuntos!G17," - ")</f>
        <v>0.15957446808510639</v>
      </c>
      <c r="E17" s="444">
        <f>IF(ISNUMBER((NºAsuntos!C17+NºAsuntos!E17)/NºAsuntos!G17),(NºAsuntos!C17+NºAsuntos!E17)/NºAsuntos!G17," - ")</f>
        <v>1.7446808510638299</v>
      </c>
      <c r="G17" s="462"/>
    </row>
    <row r="18" spans="1:7" ht="14.25" thickTop="1" thickBot="1">
      <c r="A18" s="847" t="str">
        <f>Datos!A18</f>
        <v>TOTAL</v>
      </c>
      <c r="B18" s="857">
        <f>IF(ISNUMBER(NºAsuntos!G18/NºAsuntos!E18),NºAsuntos!G18/NºAsuntos!E18," - ")</f>
        <v>0.93632195618950587</v>
      </c>
      <c r="C18" s="858">
        <f>IF(ISNUMBER(NºAsuntos!I18/NºAsuntos!G18),NºAsuntos!I18/NºAsuntos!G18," - ")</f>
        <v>1.4162132752992382</v>
      </c>
      <c r="D18" s="861">
        <f>IF(ISNUMBER('Resol  Asuntos'!D18/NºAsuntos!G18),'Resol  Asuntos'!D18/NºAsuntos!G18," - ")</f>
        <v>0.176278563656148</v>
      </c>
      <c r="E18" s="860">
        <f>IF(ISNUMBER((NºAsuntos!C18+NºAsuntos!E18)/NºAsuntos!G18),(NºAsuntos!C18+NºAsuntos!E18)/NºAsuntos!G18," - ")</f>
        <v>2.3922742110990205</v>
      </c>
      <c r="G18" s="462"/>
    </row>
    <row r="19" spans="1:7" ht="15.75" customHeight="1" thickTop="1" thickBot="1">
      <c r="A19" s="792" t="str">
        <f>Datos!A19</f>
        <v>TOTAL JURISDICCIONES</v>
      </c>
      <c r="B19" s="807">
        <f>IF(ISNUMBER(NºAsuntos!G19/NºAsuntos!E19),NºAsuntos!G19/NºAsuntos!E19," - ")</f>
        <v>1.0227009497336113</v>
      </c>
      <c r="C19" s="808">
        <f>IF(ISNUMBER(NºAsuntos!I19/NºAsuntos!G19),NºAsuntos!I19/NºAsuntos!G19," - ")</f>
        <v>1.4466591166477916</v>
      </c>
      <c r="D19" s="809">
        <f>IF(ISNUMBER('Resol  Asuntos'!D19/NºAsuntos!G19),'Resol  Asuntos'!D19/NºAsuntos!G19," - ")</f>
        <v>0.25118912797281995</v>
      </c>
      <c r="E19" s="810">
        <f>IF(ISNUMBER((NºAsuntos!C19+NºAsuntos!E19)/NºAsuntos!G19),(NºAsuntos!C19+NºAsuntos!E19)/NºAsuntos!G19," - ")</f>
        <v>2.4362400906002266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0eIZbiUtuHC5Y0q3C99J8Te+VynwbHbNyu+PjgVzjBH/0HD913/FXtnUD6EtUAPlimZxXllllmgRmpMSqNng==" saltValue="6kpF2eLyFcIisDBF4GhT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OURENSE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559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326</v>
      </c>
      <c r="Y9" s="333">
        <f>SUM(W9:X9)</f>
        <v>326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8810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643</v>
      </c>
      <c r="AJ9" s="228" t="str">
        <f>IF(ISNUMBER(Datos!BW9),Datos!BW9," - ")</f>
        <v xml:space="preserve"> - </v>
      </c>
      <c r="AK9" s="227" t="str">
        <f>IF(ISNUMBER(Datos!BX9),Datos!BX9," - ")</f>
        <v xml:space="preserve"> - </v>
      </c>
      <c r="AL9" s="242">
        <f>IF(ISNUMBER(NºAsuntos!G9/NºAsuntos!E9),NºAsuntos!G9/NºAsuntos!E9," - ")</f>
        <v>1.1056958308866707</v>
      </c>
      <c r="AM9" s="259">
        <f>IF(ISNUMBER(((NºAsuntos!I9/NºAsuntos!G9)*11)/factor_trimestre),((NºAsuntos!I9/NºAsuntos!G9)*11)/factor_trimestre," - ")</f>
        <v>4.7365905469994694</v>
      </c>
      <c r="AN9" s="243">
        <f>IF(ISNUMBER('Resol  Asuntos'!D9/NºAsuntos!G9),'Resol  Asuntos'!D9/NºAsuntos!G9," - ")</f>
        <v>0.34147636749867233</v>
      </c>
      <c r="AO9" s="244">
        <f>IF(ISNUMBER((NºAsuntos!C9+NºAsuntos!E9)/NºAsuntos!G9),(NºAsuntos!C9+NºAsuntos!E9)/NºAsuntos!G9," - ")</f>
        <v>2.5778013807753584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73</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5</v>
      </c>
      <c r="Y10" s="333">
        <f t="shared" ref="Y10:Y12" si="0">SUM(W10:X10)</f>
        <v>41</v>
      </c>
      <c r="Z10" s="334" t="str">
        <f>IF(ISNUMBER(Datos!CC10),Datos!CC10," - ")</f>
        <v xml:space="preserve"> - </v>
      </c>
      <c r="AA10" s="331">
        <f>IF(ISNUMBER(Datos!L10),Datos!L10,"-")</f>
        <v>61</v>
      </c>
      <c r="AB10" s="333">
        <f>IF(ISNUMBER(Datos!R10),Datos!R10," - ")</f>
        <v>64</v>
      </c>
      <c r="AC10" s="333">
        <f t="shared" ref="AC10:AC12" si="1">IF(ISNUMBER(AA10+AB10),AA10+AB10," - ")</f>
        <v>125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5.0833333333333339</v>
      </c>
      <c r="AN10" s="243">
        <f>IF(ISNUMBER('Resol  Asuntos'!D10/NºAsuntos!G10),'Resol  Asuntos'!D10/NºAsuntos!G10," - ")</f>
        <v>0.3611111111111111</v>
      </c>
      <c r="AO10" s="244">
        <f>IF(ISNUMBER((NºAsuntos!C10+NºAsuntos!E10)/NºAsuntos!G10),(NºAsuntos!C10+NºAsuntos!E10)/NºAsuntos!G10," - ")</f>
        <v>2.6944444444444446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v>
      </c>
      <c r="Y11" s="333">
        <f t="shared" si="0"/>
        <v>18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129</v>
      </c>
      <c r="AJ11" s="230" t="str">
        <f>IF(ISNUMBER(Datos!BW11),Datos!BW11," - ")</f>
        <v xml:space="preserve"> - </v>
      </c>
      <c r="AK11" s="231" t="str">
        <f>IF(ISNUMBER(Datos!BX11),Datos!BX11," - ")</f>
        <v xml:space="preserve"> - </v>
      </c>
      <c r="AL11" s="242">
        <f>IF(ISNUMBER(NºAsuntos!G11/NºAsuntos!E11),NºAsuntos!G11/NºAsuntos!E11," - ")</f>
        <v>1.0494417862838916</v>
      </c>
      <c r="AM11" s="259">
        <f>IF(ISNUMBER(((NºAsuntos!I11/NºAsuntos!G11)*11)/factor_trimestre),((NºAsuntos!I11/NºAsuntos!G11)*11)/factor_trimestre," - ")</f>
        <v>3.4194528875379944</v>
      </c>
      <c r="AN11" s="243">
        <f>IF(ISNUMBER('Resol  Asuntos'!D11/NºAsuntos!G11),'Resol  Asuntos'!D11/NºAsuntos!G11," - ")</f>
        <v>0.196048632218845</v>
      </c>
      <c r="AO11" s="244">
        <f>IF(ISNUMBER((NºAsuntos!C11+NºAsuntos!E11)/NºAsuntos!G11),(NºAsuntos!C11+NºAsuntos!E11)/NºAsuntos!G11," - ")</f>
        <v>2.1398176291793312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73</v>
      </c>
      <c r="G13" s="865">
        <f t="shared" si="3"/>
        <v>73</v>
      </c>
      <c r="H13" s="864">
        <f t="shared" si="3"/>
        <v>0</v>
      </c>
      <c r="I13" s="866">
        <f t="shared" si="3"/>
        <v>0</v>
      </c>
      <c r="J13" s="866">
        <f t="shared" si="3"/>
        <v>0</v>
      </c>
      <c r="K13" s="866">
        <f t="shared" si="3"/>
        <v>0</v>
      </c>
      <c r="L13" s="866">
        <f t="shared" si="3"/>
        <v>590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349</v>
      </c>
      <c r="Y13" s="867">
        <f t="shared" si="4"/>
        <v>385</v>
      </c>
      <c r="Z13" s="867">
        <f t="shared" si="4"/>
        <v>0</v>
      </c>
      <c r="AA13" s="867">
        <f t="shared" si="4"/>
        <v>61</v>
      </c>
      <c r="AB13" s="867">
        <f t="shared" si="4"/>
        <v>9200</v>
      </c>
      <c r="AC13" s="867">
        <f t="shared" si="4"/>
        <v>125</v>
      </c>
      <c r="AD13" s="867">
        <f t="shared" si="4"/>
        <v>0</v>
      </c>
      <c r="AE13" s="871">
        <f t="shared" si="4"/>
        <v>0</v>
      </c>
      <c r="AF13" s="864">
        <f t="shared" si="4"/>
        <v>0</v>
      </c>
      <c r="AG13" s="872">
        <f t="shared" si="4"/>
        <v>0</v>
      </c>
      <c r="AH13" s="869">
        <f t="shared" si="4"/>
        <v>0</v>
      </c>
      <c r="AI13" s="864">
        <f t="shared" si="4"/>
        <v>785</v>
      </c>
      <c r="AJ13" s="866">
        <f t="shared" si="4"/>
        <v>0</v>
      </c>
      <c r="AK13" s="869">
        <f>SUBTOTAL(9,AK9:AK12)</f>
        <v>0</v>
      </c>
      <c r="AL13" s="873">
        <f>IF(ISNUMBER(NºAsuntos!G13/NºAsuntos!E13),NºAsuntos!G13/NºAsuntos!E13," - ")</f>
        <v>1.094732370433305</v>
      </c>
      <c r="AM13" s="873">
        <f>IF(ISNUMBER(((NºAsuntos!I13/NºAsuntos!G13)*11)/factor_trimestre),((NºAsuntos!I13/NºAsuntos!G13)*11)/factor_trimestre," - ")</f>
        <v>4.4051222351571599</v>
      </c>
      <c r="AN13" s="874">
        <f>IF(ISNUMBER('Resol  Asuntos'!D13/NºAsuntos!G13),'Resol  Asuntos'!D13/NºAsuntos!G13," - ")</f>
        <v>0.30461777260380285</v>
      </c>
      <c r="AO13" s="875">
        <f>IF(ISNUMBER((NºAsuntos!C13+NºAsuntos!E13)/NºAsuntos!G13),(NºAsuntos!C13+NºAsuntos!E13)/NºAsuntos!G13," - ")</f>
        <v>2.4675979821497864</v>
      </c>
      <c r="AP13" s="876" t="str">
        <f t="shared" si="2"/>
        <v xml:space="preserve"> - </v>
      </c>
      <c r="AQ13" s="876">
        <f>IF(ISNUMBER((H13-W13+K13)/(F13)),(H13-W13+K13)/(F13)," - ")</f>
        <v>-0.49315068493150682</v>
      </c>
      <c r="AR13" s="877">
        <f>IF(ISNUMBER((Datos!P13-Datos!Q13)/(Datos!R13-Datos!P13+Datos!Q13)),(Datos!P13-Datos!Q13)/(Datos!R13-Datos!P13+Datos!Q13)," - ")</f>
        <v>2.6900323696841165E-2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2320</v>
      </c>
      <c r="G15" s="332">
        <f>IF(ISNUMBER(IF(D_I="SI",Datos!I15,Datos!I15+Datos!AC15)),IF(D_I="SI",Datos!I15,Datos!I15+Datos!AC15)," - ")</f>
        <v>2287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1650</v>
      </c>
      <c r="X15" s="225">
        <f>IF(ISNUMBER(Datos!Q15),Datos!Q15," - ")</f>
        <v>67</v>
      </c>
      <c r="Y15" s="333">
        <f>SUM(W15)</f>
        <v>1650</v>
      </c>
      <c r="Z15" s="334" t="str">
        <f>IF(ISNUMBER(Datos!CC15),Datos!CC15," - ")</f>
        <v xml:space="preserve"> - </v>
      </c>
      <c r="AA15" s="331">
        <f>IF(ISNUMBER(IF(D_I="SI",Datos!L15,Datos!L15+Datos!AF15)),IF(D_I="SI",Datos!L15,Datos!L15+Datos!AF15)," - ")</f>
        <v>2452</v>
      </c>
      <c r="AB15" s="333">
        <f>IF(ISNUMBER(Datos!R15),Datos!R15," - ")</f>
        <v>156</v>
      </c>
      <c r="AC15" s="333">
        <f t="shared" ref="AC15:AC17" si="6">IF(ISNUMBER(AA15+AB15),AA15+AB15," - ")</f>
        <v>2608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294</v>
      </c>
      <c r="AJ15" s="230" t="str">
        <f>IF(ISNUMBER(Datos!BW15),Datos!BW15," - ")</f>
        <v xml:space="preserve"> - </v>
      </c>
      <c r="AK15" s="231" t="str">
        <f>IF(ISNUMBER(Datos!BX15),Datos!BX15," - ")</f>
        <v xml:space="preserve"> - </v>
      </c>
      <c r="AL15" s="242">
        <f>IF(ISNUMBER(NºAsuntos!G15/NºAsuntos!E15),NºAsuntos!G15/NºAsuntos!E15," - ")</f>
        <v>0.92592592592592593</v>
      </c>
      <c r="AM15" s="259">
        <f>IF(ISNUMBER(((NºAsuntos!I15/NºAsuntos!G15)*11)/factor_trimestre),((NºAsuntos!I15/NºAsuntos!G15)*11)/factor_trimestre," - ")</f>
        <v>4.4581818181818189</v>
      </c>
      <c r="AN15" s="243">
        <f>IF(ISNUMBER('Resol  Asuntos'!D15/NºAsuntos!G15),'Resol  Asuntos'!D15/NºAsuntos!G15," - ")</f>
        <v>0.17818181818181819</v>
      </c>
      <c r="AO15" s="244">
        <f>IF(ISNUMBER((NºAsuntos!C15+NºAsuntos!E15)/NºAsuntos!G15),(NºAsuntos!C15+NºAsuntos!E15)/NºAsuntos!G15," - ")</f>
        <v>2.4660606060606058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188</v>
      </c>
      <c r="X17" s="225">
        <f>IF(ISNUMBER(Datos!Q17),Datos!Q17," - ")</f>
        <v>2</v>
      </c>
      <c r="Y17" s="333">
        <f t="shared" si="7"/>
        <v>190</v>
      </c>
      <c r="Z17" s="334" t="str">
        <f>IF(ISNUMBER(Datos!CC17),Datos!CC17," - ")</f>
        <v xml:space="preserve"> - </v>
      </c>
      <c r="AA17" s="331">
        <f>IF(ISNUMBER(Datos!L17),Datos!L17,"-")</f>
        <v>151</v>
      </c>
      <c r="AB17" s="333">
        <f>IF(ISNUMBER(Datos!R17),Datos!R17," - ")</f>
        <v>4</v>
      </c>
      <c r="AC17" s="333">
        <f t="shared" si="6"/>
        <v>155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1.0386740331491713</v>
      </c>
      <c r="AM17" s="259">
        <f>IF(ISNUMBER(((NºAsuntos!I17/NºAsuntos!G17)*11)/factor_trimestre),((NºAsuntos!I17/NºAsuntos!G17)*11)/factor_trimestre," - ")</f>
        <v>2.4095744680851068</v>
      </c>
      <c r="AN17" s="243">
        <f>IF(ISNUMBER('Resol  Asuntos'!D17/NºAsuntos!G17),'Resol  Asuntos'!D17/NºAsuntos!G17," - ")</f>
        <v>0.15957446808510639</v>
      </c>
      <c r="AO17" s="244">
        <f>IF(ISNUMBER((NºAsuntos!C17+NºAsuntos!E17)/NºAsuntos!G17),(NºAsuntos!C17+NºAsuntos!E17)/NºAsuntos!G17," - ")</f>
        <v>1.7446808510638299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2320</v>
      </c>
      <c r="G18" s="865">
        <f>SUBTOTAL(9,G15:G17)</f>
        <v>2434</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1838</v>
      </c>
      <c r="X18" s="866">
        <f t="shared" si="11"/>
        <v>69</v>
      </c>
      <c r="Y18" s="867">
        <f t="shared" si="11"/>
        <v>1840</v>
      </c>
      <c r="Z18" s="867">
        <f t="shared" si="11"/>
        <v>0</v>
      </c>
      <c r="AA18" s="867">
        <f t="shared" si="11"/>
        <v>2603</v>
      </c>
      <c r="AB18" s="867">
        <f t="shared" si="11"/>
        <v>160</v>
      </c>
      <c r="AC18" s="867">
        <f t="shared" si="11"/>
        <v>2763</v>
      </c>
      <c r="AD18" s="867">
        <f t="shared" si="11"/>
        <v>0</v>
      </c>
      <c r="AE18" s="871">
        <f t="shared" si="11"/>
        <v>0</v>
      </c>
      <c r="AF18" s="864">
        <f t="shared" si="11"/>
        <v>0</v>
      </c>
      <c r="AG18" s="872">
        <f t="shared" si="11"/>
        <v>0</v>
      </c>
      <c r="AH18" s="869">
        <f t="shared" si="11"/>
        <v>0</v>
      </c>
      <c r="AI18" s="864">
        <f t="shared" si="11"/>
        <v>324</v>
      </c>
      <c r="AJ18" s="866">
        <f t="shared" si="11"/>
        <v>0</v>
      </c>
      <c r="AK18" s="869">
        <f t="shared" si="11"/>
        <v>0</v>
      </c>
      <c r="AL18" s="873">
        <f>IF(ISNUMBER(NºAsuntos!G18/NºAsuntos!E18),NºAsuntos!G18/NºAsuntos!E18," - ")</f>
        <v>0.93632195618950587</v>
      </c>
      <c r="AM18" s="873">
        <f>IF(ISNUMBER(((NºAsuntos!I18/NºAsuntos!G18)*11)/factor_trimestre),((NºAsuntos!I18/NºAsuntos!G18)*11)/factor_trimestre," - ")</f>
        <v>4.2486398258977154</v>
      </c>
      <c r="AN18" s="874">
        <f>IF(ISNUMBER('Resol  Asuntos'!D18/NºAsuntos!G18),'Resol  Asuntos'!D18/NºAsuntos!G18," - ")</f>
        <v>0.176278563656148</v>
      </c>
      <c r="AO18" s="875">
        <f>IF(ISNUMBER((NºAsuntos!C18+NºAsuntos!E18)/NºAsuntos!G18),(NºAsuntos!C18+NºAsuntos!E18)/NºAsuntos!G18," - ")</f>
        <v>2.3922742110990205</v>
      </c>
      <c r="AP18" s="876" t="str">
        <f t="shared" si="2"/>
        <v xml:space="preserve"> - </v>
      </c>
      <c r="AQ18" s="876">
        <f>IF(ISNUMBER((H18-W18+K18)/(F18)),(H18-W18+K18)/(F18)," - ")</f>
        <v>-0.79224137931034477</v>
      </c>
      <c r="AR18" s="877">
        <f>IF(ISNUMBER((Datos!P18-Datos!Q18)/(Datos!R18-Datos!P18+Datos!Q18)),(Datos!P18-Datos!Q18)/(Datos!R18-Datos!P18+Datos!Q18)," - ")</f>
        <v>3.896103896103896E-2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2393</v>
      </c>
      <c r="G19" s="820">
        <f t="shared" si="13"/>
        <v>2507</v>
      </c>
      <c r="H19" s="819">
        <f t="shared" si="13"/>
        <v>0</v>
      </c>
      <c r="I19" s="821">
        <f t="shared" si="13"/>
        <v>0</v>
      </c>
      <c r="J19" s="821">
        <f t="shared" si="13"/>
        <v>0</v>
      </c>
      <c r="K19" s="880">
        <f t="shared" si="13"/>
        <v>0</v>
      </c>
      <c r="L19" s="821">
        <f t="shared" si="13"/>
        <v>665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1874</v>
      </c>
      <c r="X19" s="820">
        <f t="shared" si="14"/>
        <v>418</v>
      </c>
      <c r="Y19" s="827">
        <f t="shared" si="14"/>
        <v>2225</v>
      </c>
      <c r="Z19" s="827">
        <f t="shared" si="14"/>
        <v>0</v>
      </c>
      <c r="AA19" s="827">
        <f t="shared" si="14"/>
        <v>2664</v>
      </c>
      <c r="AB19" s="827">
        <f t="shared" si="14"/>
        <v>9360</v>
      </c>
      <c r="AC19" s="827">
        <f t="shared" si="14"/>
        <v>2888</v>
      </c>
      <c r="AD19" s="827">
        <f t="shared" si="14"/>
        <v>0</v>
      </c>
      <c r="AE19" s="829">
        <f t="shared" si="14"/>
        <v>0</v>
      </c>
      <c r="AF19" s="830">
        <f t="shared" si="14"/>
        <v>0</v>
      </c>
      <c r="AG19" s="831">
        <f t="shared" si="14"/>
        <v>0</v>
      </c>
      <c r="AH19" s="829">
        <f t="shared" si="14"/>
        <v>0</v>
      </c>
      <c r="AI19" s="819">
        <f t="shared" si="14"/>
        <v>1109</v>
      </c>
      <c r="AJ19" s="819">
        <f t="shared" si="14"/>
        <v>0</v>
      </c>
      <c r="AK19" s="829">
        <f t="shared" si="14"/>
        <v>0</v>
      </c>
      <c r="AL19" s="883">
        <f>IF(ISNUMBER(NºAsuntos!G19/NºAsuntos!E19),NºAsuntos!G19/NºAsuntos!E19," - ")</f>
        <v>1.0227009497336113</v>
      </c>
      <c r="AM19" s="884">
        <f>IF(ISNUMBER(((NºAsuntos!I19/NºAsuntos!G19)*11)/factor_trimestre),((NºAsuntos!I19/NºAsuntos!G19)*11)/factor_trimestre," - ")</f>
        <v>4.3399773499433749</v>
      </c>
      <c r="AN19" s="884">
        <f>IF(ISNUMBER('Resol  Asuntos'!D19/NºAsuntos!G19),'Resol  Asuntos'!D19/NºAsuntos!G19," - ")</f>
        <v>0.25118912797281995</v>
      </c>
      <c r="AO19" s="885">
        <f>IF(ISNUMBER((NºAsuntos!C19+NºAsuntos!E19)/NºAsuntos!G19),(NºAsuntos!C19+NºAsuntos!E19)/NºAsuntos!G19," - ")</f>
        <v>2.4362400906002266</v>
      </c>
      <c r="AP19" s="886" t="str">
        <f t="shared" si="2"/>
        <v xml:space="preserve"> - </v>
      </c>
      <c r="AQ19" s="887">
        <f>IF(OR(ISNUMBER(FIND("01",Criterios!A8,1)),ISNUMBER(FIND("02",Criterios!A8,1)),ISNUMBER(FIND("03",Criterios!A8,1)),ISNUMBER(FIND("04",Criterios!A8,1))),(I19-W19+K19)/(F19-K19),(H19-W19+K19)/(F19-K19))</f>
        <v>-0.78311742582532384</v>
      </c>
      <c r="AR19" s="888">
        <f>IF(ISNUMBER((Datos!P19-Datos!Q19)/(Datos!R19-Datos!P19+Datos!Q19)),(Datos!P19-Datos!Q19)/(Datos!R19-Datos!P19+Datos!Q19)," - ")</f>
        <v>2.710413694721826E-2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1002.8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2.7284509239574835</v>
      </c>
      <c r="F21" s="251">
        <f>IF(ISNUMBER(STDEV(F8:F18)),STDEV(F8:F18),"-")</f>
        <v>1297.3060548690892</v>
      </c>
      <c r="G21" s="252">
        <f>IF(ISNUMBER(STDEV(G8:G18)),STDEV(G8:G18),"-")</f>
        <v>1240.8618778897189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912.30192370727798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298.88873546936526</v>
      </c>
      <c r="AJ21" s="251">
        <f t="shared" si="18"/>
        <v>0</v>
      </c>
      <c r="AK21" s="253">
        <f t="shared" si="18"/>
        <v>0</v>
      </c>
      <c r="AL21" s="248">
        <f t="shared" si="18"/>
        <v>0.19283998692321908</v>
      </c>
      <c r="AM21" s="249">
        <f t="shared" si="18"/>
        <v>0.90699436476585404</v>
      </c>
      <c r="AN21" s="249">
        <f t="shared" si="18"/>
        <v>8.6817887208462424E-2</v>
      </c>
      <c r="AO21" s="250">
        <f t="shared" si="18"/>
        <v>0.31886707319063684</v>
      </c>
      <c r="AP21" s="290" t="str">
        <f t="shared" si="18"/>
        <v>-</v>
      </c>
      <c r="AQ21" s="291">
        <f t="shared" si="18"/>
        <v>0.21148905818506927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EjBijR2u2EdYSV1DXU+YS12M55U1fqdOch/1PzuoJyn04TrUyZ6m8ZY4wB176p+V1+iz0ov8/kbLbPAmhO/A==" saltValue="cFtBHZxzDBCHSC1RhvI3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OURENSE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-0.24263839811542992</v>
      </c>
      <c r="I9" s="349">
        <f>IF(ISNUMBER((Tasas!C9-Datos!BE9)/Datos!BE9),(Tasas!C9-Datos!BE9)/Datos!BE9," - ")</f>
        <v>3.0108977949789223E-3</v>
      </c>
      <c r="J9" s="348">
        <f>IF(ISNUMBER((Tasas!D9-Datos!BF9)/Datos!BF9),(Tasas!D9-Datos!BF9)/Datos!BF9," - ")</f>
        <v>-0.19086302336309116</v>
      </c>
      <c r="K9" s="350">
        <f>IF(ISNUMBER((Tasas!E9-Datos!BG9)/Datos!BG9),(Tasas!E9-Datos!BG9)/Datos!BG9," - ")</f>
        <v>1.4285992331497263E-3</v>
      </c>
      <c r="M9" t="e">
        <f>IF(Monitorios="SI",Datos!CE9,0)</f>
        <v>#REF!</v>
      </c>
      <c r="N9" t="e">
        <f>IF(Monitorios="SI",Datos!CF9,0)</f>
        <v>#REF!</v>
      </c>
      <c r="O9" t="e">
        <f>IF(Monitorios="SI",Datos!CG9,0)</f>
        <v>#REF!</v>
      </c>
      <c r="P9" t="e">
        <f>IF(Monitorios="SI",Datos!CH9,0)</f>
        <v>#REF!</v>
      </c>
      <c r="Q9">
        <f>IF(J_V="SI",0,Datos!AG9)</f>
        <v>112</v>
      </c>
      <c r="R9">
        <f>IF(J_V="SI",0,Datos!AH9)</f>
        <v>106</v>
      </c>
      <c r="S9">
        <f>IF(J_V="SI",0,Datos!AI9)</f>
        <v>104</v>
      </c>
      <c r="T9">
        <f>IF(J_V="SI",0,Datos!AJ9)</f>
        <v>114</v>
      </c>
    </row>
    <row r="10" spans="2:20" ht="14.25">
      <c r="B10" s="274" t="s">
        <v>246</v>
      </c>
      <c r="C10" s="7" t="str">
        <f>Datos!A10</f>
        <v>Jdos. Violencia contra la mujer/Secc Viol. TI.</v>
      </c>
      <c r="D10" s="351">
        <f>IF(ISNUMBER((Datos!I10-Datos!S10)/Datos!S10),(Datos!I10-Datos!S10)/Datos!S10," - ")</f>
        <v>-0.16091954022988506</v>
      </c>
      <c r="E10" s="347">
        <f>IF(ISNUMBER((Datos!J10-Datos!T10)/Datos!T10),(Datos!J10-Datos!T10)/Datos!T10," - ")</f>
        <v>2</v>
      </c>
      <c r="F10" s="347">
        <f>IF(ISNUMBER((Datos!K10-Datos!U10)/Datos!U10),(Datos!K10-Datos!U10)/Datos!U10," - ")</f>
        <v>5.8823529411764705E-2</v>
      </c>
      <c r="G10" s="348">
        <f>IF(ISNUMBER((Datos!L10-Datos!V10)/Datos!V10),(Datos!L10-Datos!V10)/Datos!V10," - ")</f>
        <v>0</v>
      </c>
      <c r="H10" s="229">
        <f>IF(ISNUMBER((Datos!M10-Datos!W10)/Datos!W10),(Datos!M10-Datos!W10)/Datos!W10," - ")</f>
        <v>0.3</v>
      </c>
      <c r="I10" s="349">
        <f>IF(ISNUMBER((Tasas!C10-Datos!BE10)/Datos!BE10),(Tasas!C10-Datos!BE10)/Datos!BE10," - ")</f>
        <v>-5.5555555555555601E-2</v>
      </c>
      <c r="J10" s="348">
        <f>IF(ISNUMBER((Tasas!D10-Datos!BF10)/Datos!BF10),(Tasas!D10-Datos!BF10)/Datos!BF10," - ")</f>
        <v>0.22777777777777772</v>
      </c>
      <c r="K10" s="350">
        <f>IF(ISNUMBER((Tasas!E10-Datos!BG10)/Datos!BG10),(Tasas!E10-Datos!BG10)/Datos!BG10," - ")</f>
        <v>-3.5672514619882918E-2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-0.14000000000000001</v>
      </c>
      <c r="I11" s="349">
        <f>IF(ISNUMBER((Tasas!C11-Datos!BE11)/Datos!BE11),(Tasas!C11-Datos!BE11)/Datos!BE11," - ")</f>
        <v>-9.6748293857888315E-2</v>
      </c>
      <c r="J11" s="348">
        <f>IF(ISNUMBER((Tasas!D11-Datos!BF11)/Datos!BF11),(Tasas!D11-Datos!BF11)/Datos!BF11," - ")</f>
        <v>-0.7066255622378329</v>
      </c>
      <c r="K11" s="350">
        <f>IF(ISNUMBER((Tasas!E11-Datos!BG11)/Datos!BG11),(Tasas!E11-Datos!BG11)/Datos!BG11," - ")</f>
        <v>-5.3975363941769362E-2</v>
      </c>
      <c r="M11" t="e">
        <f>IF(Monitorios="SI",Datos!CE11,0)</f>
        <v>#REF!</v>
      </c>
      <c r="N11" t="e">
        <f>IF(Monitorios="SI",Datos!CF11,0)</f>
        <v>#REF!</v>
      </c>
      <c r="O11" t="e">
        <f>IF(Monitorios="SI",Datos!CG11,0)</f>
        <v>#REF!</v>
      </c>
      <c r="P11" t="e">
        <f>IF(Monitorios="SI",Datos!CH11,0)</f>
        <v>#REF!</v>
      </c>
      <c r="Q11">
        <f>IF(J_V="SI",0,Datos!AG11)</f>
        <v>197</v>
      </c>
      <c r="R11">
        <f>IF(J_V="SI",0,Datos!AH11)</f>
        <v>179</v>
      </c>
      <c r="S11">
        <f>IF(J_V="SI",0,Datos!AI11)</f>
        <v>235</v>
      </c>
      <c r="T11">
        <f>IF(J_V="SI",0,Datos!AJ11)</f>
        <v>141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-0.222001982160555</v>
      </c>
      <c r="I13" s="356">
        <f>IF(ISNUMBER((Tasas!C13-Datos!BE13)/Datos!BE13),(Tasas!C13-Datos!BE13)/Datos!BE13," - ")</f>
        <v>-3.147899077349673E-2</v>
      </c>
      <c r="J13" s="354">
        <f>IF(ISNUMBER((Tasas!D13-Datos!BF13)/Datos!BF13),(Tasas!D13-Datos!BF13)/Datos!BF13," - ")</f>
        <v>-0.34947049347675108</v>
      </c>
      <c r="K13" s="357">
        <f>IF(ISNUMBER((Tasas!E13-Datos!BG13)/Datos!BG13),(Tasas!E13-Datos!BG13)/Datos!BG13," - ")</f>
        <v>-1.9276414407013668E-2</v>
      </c>
      <c r="M13" t="e">
        <f>IF(Monitorios="SI",Datos!CE13,0)</f>
        <v>#REF!</v>
      </c>
      <c r="N13" t="e">
        <f>IF(Monitorios="SI",Datos!CF13,0)</f>
        <v>#REF!</v>
      </c>
      <c r="O13" t="e">
        <f>IF(Monitorios="SI",Datos!CG13,0)</f>
        <v>#REF!</v>
      </c>
      <c r="P13" t="e">
        <f>IF(Monitorios="SI",Datos!CH13,0)</f>
        <v>#REF!</v>
      </c>
      <c r="Q13">
        <f>IF(J_V="SI",0,Datos!AG13)</f>
        <v>309</v>
      </c>
      <c r="R13">
        <f>IF(J_V="SI",0,Datos!AH13)</f>
        <v>285</v>
      </c>
      <c r="S13">
        <f>IF(J_V="SI",0,Datos!AI13)</f>
        <v>339</v>
      </c>
      <c r="T13">
        <f>IF(J_V="SI",0,Datos!AJ13)</f>
        <v>255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-4.2695688572624527E-2</v>
      </c>
      <c r="E15" s="347">
        <f>IF(ISNUMBER(
   IF(D_I="SI",(Datos!J15-Datos!T15)/Datos!T15,(Datos!J15+Datos!AD15-(Datos!T15+Datos!AL15))/(Datos!T15+Datos!AL15))
     ),IF(D_I="SI",(Datos!J15-Datos!T15)/Datos!T15,(Datos!J15+Datos!AD15-(Datos!T15+Datos!AL15))/(Datos!T15+Datos!AL15))," - ")</f>
        <v>0.17391304347826086</v>
      </c>
      <c r="F15" s="347">
        <f>IF(ISNUMBER(
   IF(D_I="SI",(Datos!K15-Datos!U15)/Datos!U15,(Datos!K15+Datos!AE15-(Datos!U15+Datos!AM15))/(Datos!U15+Datos!AM15))
     ),IF(D_I="SI",(Datos!K15-Datos!U15)/Datos!U15,(Datos!K15+Datos!AE15-(Datos!U15+Datos!AM15))/(Datos!U15+Datos!AM15))," - ")</f>
        <v>4.8721071863580996E-3</v>
      </c>
      <c r="G15" s="348">
        <f>IF(ISNUMBER(
   IF(D_I="SI",(Datos!L15-Datos!V15)/Datos!V15,(Datos!L15+Datos!AF15-(Datos!V15+Datos!AN15))/(Datos!V15+Datos!AN15))
     ),IF(D_I="SI",(Datos!L15-Datos!V15)/Datos!V15,(Datos!L15+Datos!AF15-(Datos!V15+Datos!AN15))/(Datos!V15+Datos!AN15))," - ")</f>
        <v>6.2391681109185443E-2</v>
      </c>
      <c r="H15" s="229">
        <f>IF(ISNUMBER((Datos!M15-Datos!W15)/Datos!W15),(Datos!M15-Datos!W15)/Datos!W15," - ")</f>
        <v>0.18072289156626506</v>
      </c>
      <c r="I15" s="349">
        <f>IF(ISNUMBER((Tasas!C15-Datos!BE15)/Datos!BE15),(Tasas!C15-Datos!BE15)/Datos!BE15," - ")</f>
        <v>5.7240691140171156E-2</v>
      </c>
      <c r="J15" s="348">
        <f>IF(ISNUMBER((Tasas!D15-Datos!BF15)/Datos!BF15),(Tasas!D15-Datos!BF15)/Datos!BF15," - ")</f>
        <v>0.17499817451624688</v>
      </c>
      <c r="K15" s="350">
        <f>IF(ISNUMBER((Tasas!E15-Datos!BG15)/Datos!BG15),(Tasas!E15-Datos!BG15)/Datos!BG15," - ")</f>
        <v>3.6414516291659739E-2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3.5211267605633804E-2</v>
      </c>
      <c r="E17" s="347">
        <f>IF(ISNUMBER(
   IF(D_I="SI",(Datos!J17-Datos!T17)/Datos!T17,(Datos!J17+Datos!AD17-(Datos!T17+Datos!AL17))/(Datos!T17+Datos!AL17))
     ),IF(D_I="SI",(Datos!J17-Datos!T17)/Datos!T17,(Datos!J17+Datos!AD17-(Datos!T17+Datos!AL17))/(Datos!T17+Datos!AL17))," - ")</f>
        <v>0.15286624203821655</v>
      </c>
      <c r="F17" s="347">
        <f>IF(ISNUMBER(
   IF(D_I="SI",(Datos!K17-Datos!U17)/Datos!U17,(Datos!K17+Datos!AE17-(Datos!U17+Datos!AM17))/(Datos!U17+Datos!AM17))
     ),IF(D_I="SI",(Datos!K17-Datos!U17)/Datos!U17,(Datos!K17+Datos!AE17-(Datos!U17+Datos!AM17))/(Datos!U17+Datos!AM17))," - ")</f>
        <v>2.7322404371584699E-2</v>
      </c>
      <c r="G17" s="348">
        <f>IF(ISNUMBER(
   IF(D_I="SI",(Datos!L17-Datos!V17)/Datos!V17,(Datos!L17+Datos!AF17-(Datos!V17+Datos!AN17))/(Datos!V17+Datos!AN17))
     ),IF(D_I="SI",(Datos!L17-Datos!V17)/Datos!V17,(Datos!L17+Datos!AF17-(Datos!V17+Datos!AN17))/(Datos!V17+Datos!AN17))," - ")</f>
        <v>0.30172413793103448</v>
      </c>
      <c r="H17" s="229">
        <f>IF(ISNUMBER((Datos!M17-Datos!W17)/Datos!W17),(Datos!M17-Datos!W17)/Datos!W17," - ")</f>
        <v>1.3076923076923077</v>
      </c>
      <c r="I17" s="349">
        <f>IF(ISNUMBER((Tasas!C17-Datos!BE17)/Datos!BE17),(Tasas!C17-Datos!BE17)/Datos!BE17," - ")</f>
        <v>0.26710381511371967</v>
      </c>
      <c r="J17" s="348">
        <f>IF(ISNUMBER((Tasas!D17-Datos!BF17)/Datos!BF17),(Tasas!D17-Datos!BF17)/Datos!BF17," - ")</f>
        <v>1.2463175122749592</v>
      </c>
      <c r="K17" s="350">
        <f>IF(ISNUMBER((Tasas!E17-Datos!BG17)/Datos!BG17),(Tasas!E17-Datos!BG17)/Datos!BG17," - ")</f>
        <v>6.7814701487226944E-2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-3.832477281706835E-2</v>
      </c>
      <c r="E18" s="353">
        <f>IF(ISNUMBER(
   IF(D_I="SI",(Datos!J18-Datos!T18)/Datos!T18,(Datos!J18+Datos!AD18-(Datos!T18+Datos!AL18))/(Datos!T18+Datos!AL18))
     ),IF(D_I="SI",(Datos!J18-Datos!T18)/Datos!T18,(Datos!J18+Datos!AD18-(Datos!T18+Datos!AL18))/(Datos!T18+Datos!AL18))," - ")</f>
        <v>0.17194029850746267</v>
      </c>
      <c r="F18" s="353">
        <f>IF(ISNUMBER(
   IF(D_I="SI",(Datos!K18-Datos!U18)/Datos!U18,(Datos!K18+Datos!AE18-(Datos!U18+Datos!AM18))/(Datos!U18+Datos!AM18))
     ),IF(D_I="SI",(Datos!K18-Datos!U18)/Datos!U18,(Datos!K18+Datos!AE18-(Datos!U18+Datos!AM18))/(Datos!U18+Datos!AM18))," - ")</f>
        <v>7.1232876712328764E-3</v>
      </c>
      <c r="G18" s="354">
        <f>IF(ISNUMBER(
   IF(D_I="SI",(Datos!L18-Datos!V18)/Datos!V18,(Datos!L18+Datos!AF18-(Datos!V18+Datos!AN18))/(Datos!V18+Datos!AN18))
     ),IF(D_I="SI",(Datos!L18-Datos!V18)/Datos!V18,(Datos!L18+Datos!AF18-(Datos!V18+Datos!AN18))/(Datos!V18+Datos!AN18))," - ")</f>
        <v>7.384488448844885E-2</v>
      </c>
      <c r="H18" s="355">
        <f>IF(ISNUMBER((Datos!M18-Datos!W18)/Datos!W18),(Datos!M18-Datos!W18)/Datos!W18," - ")</f>
        <v>0.23664122137404581</v>
      </c>
      <c r="I18" s="356">
        <f>IF(ISNUMBER((Tasas!C18-Datos!BE18)/Datos!BE18),(Tasas!C18-Datos!BE18)/Datos!BE18," - ")</f>
        <v>6.6249681279335781E-2</v>
      </c>
      <c r="J18" s="354">
        <f>IF(ISNUMBER((Tasas!D18-Datos!BF18)/Datos!BF18),(Tasas!D18-Datos!BF18)/Datos!BF18," - ")</f>
        <v>0.22789457508576383</v>
      </c>
      <c r="K18" s="357">
        <f>IF(ISNUMBER((Tasas!E18-Datos!BG18)/Datos!BG18),(Tasas!E18-Datos!BG18)/Datos!BG18," - ")</f>
        <v>3.8017221886760044E-2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-0.15231700895208003</v>
      </c>
      <c r="E19" s="362">
        <f>IF(ISNUMBER(
   IF(J_V="SI",(Datos!J19-Datos!T19)/Datos!T19,(Datos!J19+Datos!Z19-(Datos!T19+Datos!AH19))/(Datos!T19+Datos!AH19))
     ),IF(J_V="SI",(Datos!J19-Datos!T19)/Datos!T19,(Datos!J19+Datos!Z19-(Datos!T19+Datos!AH19))/(Datos!T19+Datos!AH19))," - ")</f>
        <v>-0.10342679127725857</v>
      </c>
      <c r="F19" s="362">
        <f>IF(ISNUMBER(
   IF(J_V="SI",(Datos!K19-Datos!U19)/Datos!U19,(Datos!K19+Datos!AA19-(Datos!U19+Datos!AI19))/(Datos!U19+Datos!AI19))
     ),IF(J_V="SI",(Datos!K19-Datos!U19)/Datos!U19,(Datos!K19+Datos!AA19-(Datos!U19+Datos!AI19))/(Datos!U19+Datos!AI19))," - ")</f>
        <v>-0.13193079040503342</v>
      </c>
      <c r="G19" s="363">
        <f>IF(ISNUMBER(
   IF(J_V="SI",(Datos!L19-Datos!V19)/Datos!V19,(Datos!L19+Datos!AB19-(Datos!V19+Datos!AJ19))/(Datos!V19+Datos!AJ19))
     ),IF(J_V="SI",(Datos!L19-Datos!V19)/Datos!V19,(Datos!L19+Datos!AB19-(Datos!V19+Datos!AJ19))/(Datos!V19+Datos!AJ19))," - ")</f>
        <v>-0.13314332247557004</v>
      </c>
      <c r="H19" s="364">
        <f>IF(ISNUMBER((Datos!M19-Datos!W19)/Datos!W19),(Datos!M19-Datos!W19)/Datos!W19," - ")</f>
        <v>-0.12745869394177814</v>
      </c>
      <c r="I19" s="361">
        <f>IF(ISNUMBER((Tasas!C19-Datos!BE19)/Datos!BE19),(Tasas!C19-Datos!BE19)/Datos!BE19," - ")</f>
        <v>-1.3968149741221819E-3</v>
      </c>
      <c r="J19" s="362">
        <f>IF(ISNUMBER((Tasas!D19-Datos!BF19)/Datos!BF19),(Tasas!D19-Datos!BF19)/Datos!BF19," - ")</f>
        <v>-0.28588714093361528</v>
      </c>
      <c r="K19" s="363">
        <f>IF(ISNUMBER((Tasas!E19-Datos!BG19)/Datos!BG19),(Tasas!E19-Datos!BG19)/Datos!BG19," - ")</f>
        <v>-1.6342679242001854E-3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8.1122231769126377E-2</v>
      </c>
      <c r="E21" s="277">
        <f t="shared" si="1"/>
        <v>0.91692918865115591</v>
      </c>
      <c r="F21" s="277">
        <f t="shared" si="1"/>
        <v>2.4988463684477637E-2</v>
      </c>
      <c r="G21" s="278">
        <f t="shared" si="1"/>
        <v>0.13220041576855565</v>
      </c>
      <c r="H21" s="284">
        <f t="shared" si="1"/>
        <v>0.53669533784851609</v>
      </c>
      <c r="I21" s="276">
        <f t="shared" si="1"/>
        <v>0.1198382731719209</v>
      </c>
      <c r="J21" s="277">
        <f t="shared" si="1"/>
        <v>0.61764649376653868</v>
      </c>
      <c r="K21" s="278">
        <f t="shared" si="1"/>
        <v>4.4266489997109172E-2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HI+SxcyqGlTEqou2slow3Gcm7PUjuNOZNBqWpZToBKHFykBlW4T+Dt6wQa7BFbziJMjeaUKkzjuFrhDi2LChA==" saltValue="/kyY3dx/K0V8VdBMkdff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